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4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drawings/drawing17.xml" ContentType="application/vnd.openxmlformats-officedocument.drawing+xml"/>
  <Override PartName="/xl/charts/chart15.xml" ContentType="application/vnd.openxmlformats-officedocument.drawingml.chart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F5F" lockStructure="1"/>
  <bookViews>
    <workbookView xWindow="240" yWindow="60" windowWidth="14820" windowHeight="5580" firstSheet="6" activeTab="17"/>
  </bookViews>
  <sheets>
    <sheet name="Spis treści" sheetId="22" r:id="rId1"/>
    <sheet name="Baza" sheetId="1" r:id="rId2"/>
    <sheet name="Dane" sheetId="2" r:id="rId3"/>
    <sheet name="W1" sheetId="4" r:id="rId4"/>
    <sheet name="W2" sheetId="5" r:id="rId5"/>
    <sheet name="W3" sheetId="6" r:id="rId6"/>
    <sheet name="W4" sheetId="7" r:id="rId7"/>
    <sheet name="W5" sheetId="8" r:id="rId8"/>
    <sheet name="Analiza wskaźnikowa" sheetId="3" r:id="rId9"/>
    <sheet name="W6" sheetId="9" r:id="rId10"/>
    <sheet name="W7" sheetId="10" r:id="rId11"/>
    <sheet name="W8" sheetId="11" r:id="rId12"/>
    <sheet name="W9" sheetId="17" r:id="rId13"/>
    <sheet name="W10" sheetId="12" r:id="rId14"/>
    <sheet name="W11" sheetId="13" r:id="rId15"/>
    <sheet name="W12" sheetId="14" r:id="rId16"/>
    <sheet name="W13" sheetId="15" r:id="rId17"/>
    <sheet name="Ocena" sheetId="16" r:id="rId18"/>
    <sheet name="Suplement CF" sheetId="18" r:id="rId19"/>
    <sheet name="W14" sheetId="21" r:id="rId20"/>
    <sheet name="W15" sheetId="19" r:id="rId21"/>
    <sheet name="W16" sheetId="20" r:id="rId22"/>
  </sheets>
  <calcPr calcId="145621"/>
</workbook>
</file>

<file path=xl/calcChain.xml><?xml version="1.0" encoding="utf-8"?>
<calcChain xmlns="http://schemas.openxmlformats.org/spreadsheetml/2006/main">
  <c r="D34" i="2" l="1"/>
  <c r="D32" i="2"/>
  <c r="D27" i="2"/>
  <c r="D13" i="2"/>
  <c r="D11" i="2"/>
  <c r="C34" i="2"/>
  <c r="B34" i="2"/>
  <c r="C32" i="2"/>
  <c r="B32" i="2"/>
  <c r="C27" i="2"/>
  <c r="B27" i="2"/>
  <c r="C13" i="2"/>
  <c r="B13" i="2"/>
  <c r="C11" i="2"/>
  <c r="B11" i="2"/>
  <c r="D13" i="3" l="1"/>
  <c r="C13" i="3"/>
  <c r="B13" i="3"/>
  <c r="C11" i="3"/>
  <c r="D11" i="3"/>
  <c r="C12" i="3"/>
  <c r="D12" i="3"/>
  <c r="B12" i="3"/>
  <c r="B11" i="3"/>
  <c r="B33" i="3"/>
  <c r="C33" i="3"/>
  <c r="D33" i="3"/>
  <c r="D31" i="3"/>
  <c r="D30" i="3"/>
  <c r="D32" i="3" s="1"/>
  <c r="C31" i="3"/>
  <c r="C30" i="3"/>
  <c r="C32" i="3" s="1"/>
  <c r="B31" i="3"/>
  <c r="B30" i="3"/>
  <c r="B32" i="3" s="1"/>
  <c r="D19" i="3"/>
  <c r="C19" i="3"/>
  <c r="B19" i="3"/>
  <c r="B18" i="3"/>
  <c r="C18" i="3"/>
  <c r="D18" i="3"/>
  <c r="B10" i="18"/>
  <c r="C10" i="18"/>
  <c r="C20" i="18"/>
  <c r="B20" i="18"/>
  <c r="E38" i="18"/>
  <c r="E39" i="18"/>
  <c r="E40" i="18"/>
  <c r="C38" i="18"/>
  <c r="B38" i="18"/>
  <c r="E12" i="18"/>
  <c r="E13" i="18"/>
  <c r="E14" i="18"/>
  <c r="E15" i="18"/>
  <c r="E16" i="18"/>
  <c r="E18" i="18"/>
  <c r="E19" i="18"/>
  <c r="E20" i="18"/>
  <c r="E21" i="18"/>
  <c r="E22" i="18"/>
  <c r="E24" i="18"/>
  <c r="E25" i="18"/>
  <c r="E26" i="18"/>
  <c r="E27" i="18"/>
  <c r="E29" i="18"/>
  <c r="E30" i="18"/>
  <c r="E31" i="18"/>
  <c r="E33" i="18"/>
  <c r="E34" i="18"/>
  <c r="E35" i="18"/>
  <c r="E36" i="18"/>
  <c r="E10" i="18"/>
  <c r="C33" i="18"/>
  <c r="B33" i="18"/>
  <c r="C29" i="18"/>
  <c r="C30" i="18" s="1"/>
  <c r="C31" i="18" s="1"/>
  <c r="B29" i="18"/>
  <c r="B30" i="18" s="1"/>
  <c r="B31" i="18" s="1"/>
  <c r="C24" i="18"/>
  <c r="B24" i="18"/>
  <c r="B19" i="18"/>
  <c r="C19" i="18"/>
  <c r="C18" i="18"/>
  <c r="B18" i="18"/>
  <c r="C13" i="18"/>
  <c r="B13" i="18"/>
  <c r="C14" i="18"/>
  <c r="B14" i="18"/>
  <c r="C34" i="18"/>
  <c r="B34" i="18"/>
  <c r="C9" i="18"/>
  <c r="B9" i="18"/>
  <c r="F11" i="2"/>
  <c r="F12" i="2"/>
  <c r="F13" i="2"/>
  <c r="F14" i="2"/>
  <c r="F15" i="2"/>
  <c r="F16" i="2"/>
  <c r="F17" i="2"/>
  <c r="F21" i="2"/>
  <c r="F22" i="2"/>
  <c r="F24" i="2"/>
  <c r="F25" i="2"/>
  <c r="F26" i="2"/>
  <c r="F27" i="2"/>
  <c r="F28" i="2"/>
  <c r="F29" i="2"/>
  <c r="F30" i="2"/>
  <c r="F32" i="2"/>
  <c r="F33" i="2"/>
  <c r="F34" i="2"/>
  <c r="F35" i="2"/>
  <c r="F10" i="2"/>
  <c r="F42" i="3"/>
  <c r="F39" i="3"/>
  <c r="F35" i="3"/>
  <c r="A4" i="18"/>
  <c r="A3" i="18"/>
  <c r="D34" i="3" l="1"/>
  <c r="D35" i="3" s="1"/>
  <c r="C34" i="3"/>
  <c r="C35" i="3" s="1"/>
  <c r="B34" i="3"/>
  <c r="B35" i="3" s="1"/>
  <c r="C21" i="18"/>
  <c r="B21" i="18"/>
  <c r="B35" i="18"/>
  <c r="B36" i="18" s="1"/>
  <c r="C35" i="18"/>
  <c r="C36" i="18" s="1"/>
  <c r="C12" i="18"/>
  <c r="C25" i="18" s="1"/>
  <c r="C26" i="18" s="1"/>
  <c r="C27" i="18" s="1"/>
  <c r="B12" i="18"/>
  <c r="B25" i="18" s="1"/>
  <c r="B26" i="18" s="1"/>
  <c r="B27" i="18" s="1"/>
  <c r="C14" i="2"/>
  <c r="C10" i="3" s="1"/>
  <c r="A4" i="16"/>
  <c r="C8" i="1"/>
  <c r="C9" i="1"/>
  <c r="C7" i="1"/>
  <c r="C24" i="16"/>
  <c r="C33" i="16" s="1"/>
  <c r="C23" i="16"/>
  <c r="C22" i="16"/>
  <c r="C21" i="16"/>
  <c r="C20" i="16"/>
  <c r="C12" i="16"/>
  <c r="C30" i="16" s="1"/>
  <c r="C13" i="16"/>
  <c r="C31" i="16" s="1"/>
  <c r="C14" i="16"/>
  <c r="C32" i="16" s="1"/>
  <c r="C11" i="16"/>
  <c r="A15" i="16"/>
  <c r="A24" i="16" s="1"/>
  <c r="A33" i="16" s="1"/>
  <c r="A14" i="16"/>
  <c r="A23" i="16" s="1"/>
  <c r="A32" i="16" s="1"/>
  <c r="A13" i="16"/>
  <c r="A22" i="16" s="1"/>
  <c r="A31" i="16" s="1"/>
  <c r="A12" i="16"/>
  <c r="A21" i="16" s="1"/>
  <c r="A30" i="16" s="1"/>
  <c r="A11" i="16"/>
  <c r="A20" i="16" s="1"/>
  <c r="A29" i="16" s="1"/>
  <c r="A3" i="16"/>
  <c r="C42" i="3"/>
  <c r="D42" i="3"/>
  <c r="B42" i="3"/>
  <c r="C43" i="3" s="1"/>
  <c r="C44" i="3" s="1"/>
  <c r="D39" i="3"/>
  <c r="C39" i="3"/>
  <c r="B39" i="3"/>
  <c r="A17" i="3"/>
  <c r="A23" i="3" s="1"/>
  <c r="A29" i="3" s="1"/>
  <c r="A38" i="3" s="1"/>
  <c r="D9" i="3"/>
  <c r="D17" i="3" s="1"/>
  <c r="D23" i="3" s="1"/>
  <c r="D29" i="3" s="1"/>
  <c r="D38" i="3" s="1"/>
  <c r="C9" i="3"/>
  <c r="C17" i="3" s="1"/>
  <c r="C23" i="3" s="1"/>
  <c r="C29" i="3" s="1"/>
  <c r="C38" i="3" s="1"/>
  <c r="B9" i="3"/>
  <c r="B17" i="3" s="1"/>
  <c r="B23" i="3" s="1"/>
  <c r="B29" i="3" s="1"/>
  <c r="B38" i="3" s="1"/>
  <c r="A4" i="3"/>
  <c r="A3" i="3"/>
  <c r="C30" i="2"/>
  <c r="D30" i="2"/>
  <c r="B30" i="2"/>
  <c r="B22" i="2"/>
  <c r="C16" i="2"/>
  <c r="D16" i="2"/>
  <c r="B16" i="2"/>
  <c r="D14" i="2"/>
  <c r="D10" i="3" s="1"/>
  <c r="B14" i="2"/>
  <c r="B10" i="3" s="1"/>
  <c r="D9" i="2"/>
  <c r="D20" i="2" s="1"/>
  <c r="C9" i="2"/>
  <c r="C20" i="2" s="1"/>
  <c r="B9" i="2"/>
  <c r="B20" i="2" s="1"/>
  <c r="A4" i="2"/>
  <c r="A3" i="2"/>
  <c r="B28" i="2" l="1"/>
  <c r="B20" i="3"/>
  <c r="B26" i="3"/>
  <c r="B24" i="3"/>
  <c r="B14" i="3"/>
  <c r="B25" i="3"/>
  <c r="C40" i="3"/>
  <c r="C41" i="3" s="1"/>
  <c r="B15" i="18"/>
  <c r="B16" i="18" s="1"/>
  <c r="B22" i="18" s="1"/>
  <c r="B39" i="18" s="1"/>
  <c r="B40" i="18" s="1"/>
  <c r="B42" i="18" s="1"/>
  <c r="D40" i="3"/>
  <c r="D41" i="3"/>
  <c r="D43" i="3"/>
  <c r="D44" i="3" s="1"/>
  <c r="C15" i="18"/>
  <c r="C16" i="18" s="1"/>
  <c r="C22" i="18" s="1"/>
  <c r="C39" i="18" s="1"/>
  <c r="C40" i="18" s="1"/>
  <c r="C42" i="18" s="1"/>
  <c r="D22" i="2"/>
  <c r="D20" i="3" s="1"/>
  <c r="C22" i="2"/>
  <c r="C20" i="3" s="1"/>
  <c r="D28" i="2"/>
  <c r="C28" i="2"/>
  <c r="B35" i="2"/>
  <c r="B37" i="2" s="1"/>
  <c r="B38" i="2" s="1"/>
  <c r="D35" i="2"/>
  <c r="C35" i="2"/>
  <c r="C29" i="16"/>
  <c r="C34" i="16" s="1"/>
  <c r="A37" i="16" s="1"/>
  <c r="C25" i="16"/>
  <c r="C16" i="16"/>
  <c r="D14" i="3" l="1"/>
  <c r="D24" i="3"/>
  <c r="D25" i="3"/>
  <c r="D26" i="3"/>
  <c r="C14" i="3"/>
  <c r="C24" i="3"/>
  <c r="C25" i="3"/>
  <c r="C26" i="3"/>
  <c r="A38" i="2"/>
  <c r="C37" i="2"/>
  <c r="C38" i="2" s="1"/>
  <c r="D37" i="2"/>
  <c r="D38" i="2" s="1"/>
</calcChain>
</file>

<file path=xl/sharedStrings.xml><?xml version="1.0" encoding="utf-8"?>
<sst xmlns="http://schemas.openxmlformats.org/spreadsheetml/2006/main" count="205" uniqueCount="138">
  <si>
    <t>Arkusz analizy finansowej przedsiębiorstwa</t>
  </si>
  <si>
    <t>Nazwa:</t>
  </si>
  <si>
    <t>Okresy:</t>
  </si>
  <si>
    <t>m-cy</t>
  </si>
  <si>
    <t>Dane w:</t>
  </si>
  <si>
    <t>Dane bazowe</t>
  </si>
  <si>
    <t>Rachunek wyników</t>
  </si>
  <si>
    <t>Tytuł/okres</t>
  </si>
  <si>
    <t>Przychody</t>
  </si>
  <si>
    <t>Koszty</t>
  </si>
  <si>
    <t>w tym:</t>
  </si>
  <si>
    <t>Amortyzacja</t>
  </si>
  <si>
    <t>Wynik na sprzedaży</t>
  </si>
  <si>
    <t>EBIT</t>
  </si>
  <si>
    <t>EBITDA</t>
  </si>
  <si>
    <t>Wynik netto</t>
  </si>
  <si>
    <t>Bilans</t>
  </si>
  <si>
    <t>Aktywa trwałe</t>
  </si>
  <si>
    <t>Aktywa obrotowe</t>
  </si>
  <si>
    <t>Zapasy</t>
  </si>
  <si>
    <t>Środki pieniężne</t>
  </si>
  <si>
    <t>Kapitały własne</t>
  </si>
  <si>
    <t>Kapitały obce</t>
  </si>
  <si>
    <t>Razem pasywa</t>
  </si>
  <si>
    <t>Razem aktywa</t>
  </si>
  <si>
    <t>Weryfikacja</t>
  </si>
  <si>
    <t>Analiza wskaźnikowa</t>
  </si>
  <si>
    <t>Wskaźniki rentowności</t>
  </si>
  <si>
    <t>Rentowność sprzedaży</t>
  </si>
  <si>
    <t>Rentowność EBIT'u</t>
  </si>
  <si>
    <t>Zyskowność netto (ROS)</t>
  </si>
  <si>
    <t>Rentowność kapitałów (ROE)</t>
  </si>
  <si>
    <t>Rentowność majątku (ROA)</t>
  </si>
  <si>
    <t>[wskaźnik w skali rocznej]</t>
  </si>
  <si>
    <t>Poziom oczekiwany</t>
  </si>
  <si>
    <t>min. 5-10%</t>
  </si>
  <si>
    <t>min. 3-5%</t>
  </si>
  <si>
    <t>min. 10-13%</t>
  </si>
  <si>
    <t>min. 7-10%</t>
  </si>
  <si>
    <t>Wskaźniki płynności</t>
  </si>
  <si>
    <t>Wskaźnik płynności gotówkowej (I st.)</t>
  </si>
  <si>
    <t>Wskaźnik płynności szybkiej (II st.)</t>
  </si>
  <si>
    <t>Wskaźnik płynności bieżącej (III st.)</t>
  </si>
  <si>
    <t>min. 20%</t>
  </si>
  <si>
    <t>min. 100%</t>
  </si>
  <si>
    <t>min. 120-150%</t>
  </si>
  <si>
    <t>Wskaźniki zadłużenia</t>
  </si>
  <si>
    <t>Zadłużenie długoterminowe</t>
  </si>
  <si>
    <t>Zadłużenie krótkoterminowe</t>
  </si>
  <si>
    <t>Zadłużenie ogółem</t>
  </si>
  <si>
    <t>jak najmniejszy</t>
  </si>
  <si>
    <t>max. 60-65%</t>
  </si>
  <si>
    <t>Cykle obrotu i zapotrzebowanie na kapitał obrotowy</t>
  </si>
  <si>
    <t>Cykl zapasów</t>
  </si>
  <si>
    <t>Cykl operacyjny</t>
  </si>
  <si>
    <t>Cykl zobowiązań</t>
  </si>
  <si>
    <t>Cykl konwersji</t>
  </si>
  <si>
    <t>Zapotrzebowanie na kapitał obrotowy</t>
  </si>
  <si>
    <t>[dane w dniach]</t>
  </si>
  <si>
    <t>max. 30-60 dni</t>
  </si>
  <si>
    <t>max. 60-90 dni</t>
  </si>
  <si>
    <t>jak najkrótszy</t>
  </si>
  <si>
    <t>jak najmniejsze</t>
  </si>
  <si>
    <t>Wskaźniki rozwoju przedsiębiorstwa</t>
  </si>
  <si>
    <t>Sprzedaż w skali rocznej</t>
  </si>
  <si>
    <t>[dane sprowadzone do roku]</t>
  </si>
  <si>
    <t>Dynamika sprzedaży</t>
  </si>
  <si>
    <t>Wzrost/spadek</t>
  </si>
  <si>
    <t>-</t>
  </si>
  <si>
    <t>min. powyżej inflacji</t>
  </si>
  <si>
    <t>Wartość majątku trwałego</t>
  </si>
  <si>
    <t>Dynamika majątku</t>
  </si>
  <si>
    <t>Ocena przedsiębiorstwa</t>
  </si>
  <si>
    <t>Ocena punktowa</t>
  </si>
  <si>
    <t>Ocena wskaźników bieżących i przeszłych</t>
  </si>
  <si>
    <t>Tytuł</t>
  </si>
  <si>
    <t>Punktacja</t>
  </si>
  <si>
    <t>Skala</t>
  </si>
  <si>
    <t>[0-3]</t>
  </si>
  <si>
    <t>[0-2]</t>
  </si>
  <si>
    <t>SUMA</t>
  </si>
  <si>
    <t>[0-10]</t>
  </si>
  <si>
    <t>Ocena tendencji w czasie</t>
  </si>
  <si>
    <t>[0-1]</t>
  </si>
  <si>
    <t>Klasyfikacja ryzyka (rating)</t>
  </si>
  <si>
    <t>[0-6]</t>
  </si>
  <si>
    <t>[0-4]</t>
  </si>
  <si>
    <t>[0-20]</t>
  </si>
  <si>
    <t>Kredyt kupiecki udzielony</t>
  </si>
  <si>
    <t>RMC i inne aktywa obrotowe</t>
  </si>
  <si>
    <t>Rezerwy i RMB</t>
  </si>
  <si>
    <t>Kredyt instytucjonalny (ZD)</t>
  </si>
  <si>
    <t>Kredyt kupiecki (ZK)</t>
  </si>
  <si>
    <t>[dane nominalne]</t>
  </si>
  <si>
    <t>Zarządczy uproszczony rachunek przepływów</t>
  </si>
  <si>
    <t>Korekty:</t>
  </si>
  <si>
    <t>Razem korekty</t>
  </si>
  <si>
    <t>Wynik po korektach</t>
  </si>
  <si>
    <t>Cykl należności</t>
  </si>
  <si>
    <t>w pełnych okresach jw.</t>
  </si>
  <si>
    <t>Zmiany w kapitale obrotowym:</t>
  </si>
  <si>
    <t>Razem zmiany w kapitale obrotowym</t>
  </si>
  <si>
    <t>I. PRZEPŁYWY OPERACYJNE</t>
  </si>
  <si>
    <t>Zmiany w majątku trwałym:</t>
  </si>
  <si>
    <t>Razem zmiany w majątku trwałym</t>
  </si>
  <si>
    <t>II. PRZEPŁYWY INWESTYCYJNE</t>
  </si>
  <si>
    <t>Zmiany z finansowaniu długoterminowym:</t>
  </si>
  <si>
    <t>Razem zmiany w finansowaniu długoterminowym</t>
  </si>
  <si>
    <t>III. PRZEPŁYWY FINANSOWE</t>
  </si>
  <si>
    <t>Zmiany w kapitale właścicielskim:</t>
  </si>
  <si>
    <t>Razem zmiany w kapitale właścicielskim</t>
  </si>
  <si>
    <t>IV. FINANSOWANIE WŁAŚCICIELSKIE</t>
  </si>
  <si>
    <t>[na plus nadwyżka/na minus strata]</t>
  </si>
  <si>
    <t>[spadek stanu na plus/wzrost na minus]</t>
  </si>
  <si>
    <t>[wzrost stanu na plus/spadek na minus]</t>
  </si>
  <si>
    <t>[na minus inwestycje/na plus wyprzedaż]</t>
  </si>
  <si>
    <t>[na plus zaciąganie finansowania/na minus spłata]</t>
  </si>
  <si>
    <t>[na plus dopłaty/na minus dywidendy lub skup własny*]</t>
  </si>
  <si>
    <t>*) obraz może być lekko zachwiany zmianami w kapitale z aktualizacji wyceny</t>
  </si>
  <si>
    <t>Stan środków na początek okresu</t>
  </si>
  <si>
    <t>RAZEM ZMIANY</t>
  </si>
  <si>
    <t>Stan środków na koniec okresu</t>
  </si>
  <si>
    <t>Rachunek przepływów pieniężnych</t>
  </si>
  <si>
    <t>Ocena ogólna</t>
  </si>
  <si>
    <t>Baza</t>
  </si>
  <si>
    <t>Suplement - Rachunek przepływów</t>
  </si>
  <si>
    <t>Ocena - Rating</t>
  </si>
  <si>
    <t>Dane do analizy</t>
  </si>
  <si>
    <t>Spis treści:</t>
  </si>
  <si>
    <t>Kliknij na właściwą nazwę arkusza poniżej</t>
  </si>
  <si>
    <t>Autor programu: Maciej Skudlik</t>
  </si>
  <si>
    <t>Ruda Śląska 2014</t>
  </si>
  <si>
    <t>Powrót do spisu treści</t>
  </si>
  <si>
    <t>2012 rok</t>
  </si>
  <si>
    <t>2013 rok</t>
  </si>
  <si>
    <t>tys. zł</t>
  </si>
  <si>
    <t>3 kwartały 2014</t>
  </si>
  <si>
    <t>Zakłady Automatyki POLNA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</si>
</sst>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%"/>
    <numFmt numFmtId="165" formatCode="#,##0.0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sz val="14"/>
      <color rgb="FFFF000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20"/>
      <color rgb="FFFF0000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20"/>
      <color theme="1"/>
      <name val="Czcionka tekstu podstawowego"/>
      <family val="2"/>
      <charset val="238"/>
    </font>
    <font>
      <i/>
      <sz val="14"/>
      <color theme="1"/>
      <name val="Czcionka tekstu podstawowego"/>
      <charset val="238"/>
    </font>
    <font>
      <b/>
      <sz val="20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b/>
      <sz val="18"/>
      <color theme="10"/>
      <name val="Czcionka tekstu podstawowego"/>
      <charset val="238"/>
    </font>
    <font>
      <sz val="14"/>
      <name val="Czcionka tekstu podstawowego"/>
      <family val="2"/>
      <charset val="238"/>
    </font>
    <font>
      <u/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3" fontId="6" fillId="2" borderId="0" xfId="0" applyNumberFormat="1" applyFont="1" applyFill="1"/>
    <xf numFmtId="3" fontId="0" fillId="2" borderId="0" xfId="0" applyNumberFormat="1" applyFill="1"/>
    <xf numFmtId="3" fontId="0" fillId="2" borderId="5" xfId="0" applyNumberFormat="1" applyFill="1" applyBorder="1"/>
    <xf numFmtId="3" fontId="6" fillId="2" borderId="5" xfId="0" applyNumberFormat="1" applyFont="1" applyFill="1" applyBorder="1"/>
    <xf numFmtId="3" fontId="0" fillId="2" borderId="0" xfId="0" applyNumberFormat="1" applyFill="1" applyBorder="1"/>
    <xf numFmtId="3" fontId="0" fillId="2" borderId="6" xfId="0" applyNumberFormat="1" applyFill="1" applyBorder="1"/>
    <xf numFmtId="3" fontId="0" fillId="2" borderId="7" xfId="0" applyNumberFormat="1" applyFill="1" applyBorder="1"/>
    <xf numFmtId="3" fontId="6" fillId="2" borderId="8" xfId="0" applyNumberFormat="1" applyFont="1" applyFill="1" applyBorder="1"/>
    <xf numFmtId="3" fontId="0" fillId="2" borderId="12" xfId="0" applyNumberFormat="1" applyFill="1" applyBorder="1"/>
    <xf numFmtId="3" fontId="6" fillId="2" borderId="12" xfId="0" applyNumberFormat="1" applyFont="1" applyFill="1" applyBorder="1"/>
    <xf numFmtId="3" fontId="6" fillId="2" borderId="0" xfId="0" applyNumberFormat="1" applyFont="1" applyFill="1" applyAlignment="1">
      <alignment horizontal="right"/>
    </xf>
    <xf numFmtId="3" fontId="0" fillId="2" borderId="0" xfId="0" applyNumberFormat="1" applyFill="1" applyAlignment="1">
      <alignment horizontal="right"/>
    </xf>
    <xf numFmtId="0" fontId="6" fillId="2" borderId="0" xfId="0" applyFont="1" applyFill="1"/>
    <xf numFmtId="0" fontId="0" fillId="2" borderId="0" xfId="0" applyFill="1"/>
    <xf numFmtId="0" fontId="0" fillId="2" borderId="5" xfId="0" applyFill="1" applyBorder="1"/>
    <xf numFmtId="0" fontId="7" fillId="2" borderId="0" xfId="0" applyFont="1" applyFill="1"/>
    <xf numFmtId="3" fontId="0" fillId="2" borderId="5" xfId="2" quotePrefix="1" applyNumberFormat="1" applyFont="1" applyFill="1" applyBorder="1" applyAlignment="1">
      <alignment horizontal="right"/>
    </xf>
    <xf numFmtId="0" fontId="0" fillId="2" borderId="5" xfId="0" quotePrefix="1" applyFill="1" applyBorder="1"/>
    <xf numFmtId="0" fontId="6" fillId="2" borderId="5" xfId="0" applyFont="1" applyFill="1" applyBorder="1"/>
    <xf numFmtId="0" fontId="0" fillId="2" borderId="6" xfId="0" applyFill="1" applyBorder="1"/>
    <xf numFmtId="0" fontId="0" fillId="2" borderId="21" xfId="0" applyFill="1" applyBorder="1"/>
    <xf numFmtId="0" fontId="0" fillId="2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165" fontId="0" fillId="2" borderId="19" xfId="1" applyNumberFormat="1" applyFon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2" borderId="21" xfId="1" applyNumberFormat="1" applyFont="1" applyFill="1" applyBorder="1" applyAlignment="1">
      <alignment horizontal="center"/>
    </xf>
    <xf numFmtId="0" fontId="6" fillId="2" borderId="8" xfId="0" applyFont="1" applyFill="1" applyBorder="1"/>
    <xf numFmtId="0" fontId="8" fillId="2" borderId="0" xfId="0" applyFont="1" applyFill="1" applyAlignment="1">
      <alignment horizontal="center"/>
    </xf>
    <xf numFmtId="3" fontId="6" fillId="2" borderId="0" xfId="0" applyNumberFormat="1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2" borderId="0" xfId="1" applyNumberFormat="1" applyFont="1" applyFill="1" applyProtection="1">
      <protection locked="0"/>
    </xf>
    <xf numFmtId="0" fontId="5" fillId="3" borderId="1" xfId="0" applyFont="1" applyFill="1" applyBorder="1" applyProtection="1">
      <protection locked="0"/>
    </xf>
    <xf numFmtId="0" fontId="5" fillId="3" borderId="2" xfId="0" applyFont="1" applyFill="1" applyBorder="1" applyProtection="1">
      <protection locked="0"/>
    </xf>
    <xf numFmtId="0" fontId="5" fillId="3" borderId="3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Protection="1"/>
    <xf numFmtId="3" fontId="2" fillId="3" borderId="13" xfId="0" applyNumberFormat="1" applyFont="1" applyFill="1" applyBorder="1" applyProtection="1">
      <protection locked="0"/>
    </xf>
    <xf numFmtId="3" fontId="2" fillId="3" borderId="14" xfId="0" applyNumberFormat="1" applyFont="1" applyFill="1" applyBorder="1" applyProtection="1">
      <protection locked="0"/>
    </xf>
    <xf numFmtId="3" fontId="2" fillId="3" borderId="15" xfId="0" applyNumberFormat="1" applyFont="1" applyFill="1" applyBorder="1" applyProtection="1">
      <protection locked="0"/>
    </xf>
    <xf numFmtId="3" fontId="2" fillId="3" borderId="16" xfId="0" applyNumberFormat="1" applyFont="1" applyFill="1" applyBorder="1" applyProtection="1">
      <protection locked="0"/>
    </xf>
    <xf numFmtId="3" fontId="2" fillId="3" borderId="17" xfId="0" applyNumberFormat="1" applyFont="1" applyFill="1" applyBorder="1" applyProtection="1">
      <protection locked="0"/>
    </xf>
    <xf numFmtId="3" fontId="2" fillId="3" borderId="18" xfId="0" applyNumberFormat="1" applyFont="1" applyFill="1" applyBorder="1" applyProtection="1">
      <protection locked="0"/>
    </xf>
    <xf numFmtId="3" fontId="2" fillId="3" borderId="9" xfId="0" applyNumberFormat="1" applyFont="1" applyFill="1" applyBorder="1" applyProtection="1">
      <protection locked="0"/>
    </xf>
    <xf numFmtId="3" fontId="2" fillId="3" borderId="10" xfId="0" applyNumberFormat="1" applyFont="1" applyFill="1" applyBorder="1" applyProtection="1">
      <protection locked="0"/>
    </xf>
    <xf numFmtId="3" fontId="2" fillId="3" borderId="11" xfId="0" applyNumberFormat="1" applyFont="1" applyFill="1" applyBorder="1" applyProtection="1">
      <protection locked="0"/>
    </xf>
    <xf numFmtId="3" fontId="2" fillId="3" borderId="19" xfId="0" applyNumberFormat="1" applyFont="1" applyFill="1" applyBorder="1" applyProtection="1">
      <protection locked="0"/>
    </xf>
    <xf numFmtId="3" fontId="2" fillId="3" borderId="5" xfId="0" applyNumberFormat="1" applyFont="1" applyFill="1" applyBorder="1" applyProtection="1">
      <protection locked="0"/>
    </xf>
    <xf numFmtId="3" fontId="2" fillId="3" borderId="20" xfId="0" applyNumberFormat="1" applyFont="1" applyFill="1" applyBorder="1" applyProtection="1">
      <protection locked="0"/>
    </xf>
    <xf numFmtId="0" fontId="0" fillId="2" borderId="0" xfId="0" applyFill="1" applyAlignment="1">
      <alignment horizontal="left"/>
    </xf>
    <xf numFmtId="0" fontId="0" fillId="2" borderId="0" xfId="0" applyFill="1" applyBorder="1"/>
    <xf numFmtId="164" fontId="0" fillId="2" borderId="0" xfId="2" applyNumberFormat="1" applyFont="1" applyFill="1" applyBorder="1"/>
    <xf numFmtId="3" fontId="0" fillId="2" borderId="0" xfId="2" applyNumberFormat="1" applyFont="1" applyFill="1" applyBorder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0" fillId="2" borderId="5" xfId="0" applyFill="1" applyBorder="1" applyAlignment="1">
      <alignment horizontal="right"/>
    </xf>
    <xf numFmtId="164" fontId="0" fillId="2" borderId="5" xfId="2" applyNumberFormat="1" applyFont="1" applyFill="1" applyBorder="1" applyAlignment="1">
      <alignment horizontal="right"/>
    </xf>
    <xf numFmtId="3" fontId="0" fillId="2" borderId="5" xfId="2" applyNumberFormat="1" applyFont="1" applyFill="1" applyBorder="1" applyAlignment="1">
      <alignment horizontal="right"/>
    </xf>
    <xf numFmtId="3" fontId="6" fillId="2" borderId="0" xfId="0" applyNumberFormat="1" applyFont="1" applyFill="1" applyAlignment="1">
      <alignment horizontal="left" vertical="center"/>
    </xf>
    <xf numFmtId="3" fontId="0" fillId="2" borderId="0" xfId="0" applyNumberFormat="1" applyFill="1" applyAlignment="1">
      <alignment horizontal="left" vertical="center"/>
    </xf>
    <xf numFmtId="3" fontId="9" fillId="2" borderId="0" xfId="0" applyNumberFormat="1" applyFont="1" applyFill="1"/>
    <xf numFmtId="3" fontId="0" fillId="2" borderId="5" xfId="0" applyNumberFormat="1" applyFill="1" applyBorder="1" applyAlignment="1">
      <alignment horizontal="right"/>
    </xf>
    <xf numFmtId="0" fontId="6" fillId="2" borderId="6" xfId="0" applyFont="1" applyFill="1" applyBorder="1"/>
    <xf numFmtId="165" fontId="6" fillId="2" borderId="21" xfId="1" applyNumberFormat="1" applyFont="1" applyFill="1" applyBorder="1" applyAlignment="1">
      <alignment horizontal="center"/>
    </xf>
    <xf numFmtId="0" fontId="6" fillId="2" borderId="21" xfId="0" applyFont="1" applyFill="1" applyBorder="1"/>
    <xf numFmtId="0" fontId="6" fillId="2" borderId="0" xfId="0" applyFont="1" applyFill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4" fillId="0" borderId="2" xfId="3" applyFont="1" applyBorder="1" applyAlignment="1" applyProtection="1">
      <protection locked="0"/>
    </xf>
    <xf numFmtId="0" fontId="14" fillId="0" borderId="1" xfId="3" applyFont="1" applyBorder="1" applyAlignment="1" applyProtection="1">
      <protection locked="0"/>
    </xf>
    <xf numFmtId="0" fontId="14" fillId="0" borderId="3" xfId="3" applyFont="1" applyBorder="1" applyAlignment="1" applyProtection="1">
      <protection locked="0"/>
    </xf>
    <xf numFmtId="0" fontId="14" fillId="0" borderId="4" xfId="3" applyFont="1" applyBorder="1" applyAlignment="1" applyProtection="1">
      <protection locked="0"/>
    </xf>
    <xf numFmtId="0" fontId="15" fillId="2" borderId="0" xfId="0" applyFont="1" applyFill="1" applyProtection="1"/>
    <xf numFmtId="0" fontId="16" fillId="4" borderId="1" xfId="3" applyFont="1" applyFill="1" applyBorder="1" applyAlignment="1" applyProtection="1">
      <alignment horizontal="center" vertical="center"/>
      <protection locked="0"/>
    </xf>
    <xf numFmtId="3" fontId="16" fillId="4" borderId="1" xfId="3" applyNumberFormat="1" applyFont="1" applyFill="1" applyBorder="1" applyAlignment="1" applyProtection="1">
      <alignment horizontal="center"/>
    </xf>
    <xf numFmtId="3" fontId="16" fillId="4" borderId="1" xfId="3" applyNumberFormat="1" applyFont="1" applyFill="1" applyBorder="1" applyAlignment="1" applyProtection="1">
      <alignment horizontal="center"/>
      <protection locked="0"/>
    </xf>
    <xf numFmtId="0" fontId="16" fillId="4" borderId="1" xfId="3" applyFont="1" applyFill="1" applyBorder="1" applyAlignment="1" applyProtection="1">
      <alignment horizontal="center"/>
      <protection locked="0"/>
    </xf>
    <xf numFmtId="3" fontId="0" fillId="2" borderId="0" xfId="0" applyNumberFormat="1" applyFill="1" applyAlignment="1">
      <alignment horizontal="left"/>
    </xf>
    <xf numFmtId="3" fontId="6" fillId="2" borderId="0" xfId="0" applyNumberFormat="1" applyFont="1" applyFill="1" applyAlignment="1">
      <alignment horizontal="left"/>
    </xf>
    <xf numFmtId="0" fontId="0" fillId="2" borderId="7" xfId="0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9.xml"/><Relationship Id="rId18" Type="http://schemas.openxmlformats.org/officeDocument/2006/relationships/worksheet" Target="worksheets/sheet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5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3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2.xml"/><Relationship Id="rId20" Type="http://schemas.openxmlformats.org/officeDocument/2006/relationships/chartsheet" Target="chartsheets/sheet14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7.xml"/><Relationship Id="rId24" Type="http://schemas.openxmlformats.org/officeDocument/2006/relationships/styles" Target="styles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11.xml"/><Relationship Id="rId23" Type="http://schemas.openxmlformats.org/officeDocument/2006/relationships/theme" Target="theme/theme1.xml"/><Relationship Id="rId10" Type="http://schemas.openxmlformats.org/officeDocument/2006/relationships/chartsheet" Target="chartsheets/sheet6.xml"/><Relationship Id="rId19" Type="http://schemas.openxmlformats.org/officeDocument/2006/relationships/worksheet" Target="worksheets/sheet6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4.xml"/><Relationship Id="rId14" Type="http://schemas.openxmlformats.org/officeDocument/2006/relationships/chartsheet" Target="chartsheets/sheet10.xml"/><Relationship Id="rId22" Type="http://schemas.openxmlformats.org/officeDocument/2006/relationships/chartsheet" Target="chartsheets/sheet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Przychody, koszty oraz marża </a:t>
            </a:r>
          </a:p>
          <a:p>
            <a:pPr>
              <a:defRPr/>
            </a:pPr>
            <a:r>
              <a:rPr lang="pl-PL"/>
              <a:t>(wynik na sprzedaży)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Dane!$A$10</c:f>
              <c:strCache>
                <c:ptCount val="1"/>
                <c:pt idx="0">
                  <c:v>Przychody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Dane!$B$10:$D$10</c:f>
              <c:numCache>
                <c:formatCode>#,##0</c:formatCode>
                <c:ptCount val="3"/>
                <c:pt idx="0">
                  <c:v>34490</c:v>
                </c:pt>
                <c:pt idx="1">
                  <c:v>36887</c:v>
                </c:pt>
                <c:pt idx="2">
                  <c:v>26785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Dane!$A$11</c:f>
              <c:strCache>
                <c:ptCount val="1"/>
                <c:pt idx="0">
                  <c:v>Koszty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Dane!$B$11:$D$11</c:f>
              <c:numCache>
                <c:formatCode>#,##0</c:formatCode>
                <c:ptCount val="3"/>
                <c:pt idx="0">
                  <c:v>31640</c:v>
                </c:pt>
                <c:pt idx="1">
                  <c:v>32947</c:v>
                </c:pt>
                <c:pt idx="2">
                  <c:v>23671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rgbClr val="FF0000"/>
              </a:solidFill>
            </c:spPr>
          </c:upBars>
          <c:downBars>
            <c:spPr>
              <a:solidFill>
                <a:srgbClr val="00B050"/>
              </a:solidFill>
            </c:spPr>
          </c:downBars>
        </c:upDownBars>
        <c:marker val="1"/>
        <c:smooth val="0"/>
        <c:axId val="81009664"/>
        <c:axId val="81015552"/>
      </c:lineChart>
      <c:catAx>
        <c:axId val="81009664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81015552"/>
        <c:crosses val="autoZero"/>
        <c:auto val="1"/>
        <c:lblAlgn val="ctr"/>
        <c:lblOffset val="100"/>
        <c:noMultiLvlLbl val="0"/>
      </c:catAx>
      <c:valAx>
        <c:axId val="810155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10096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Cykle obrotu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wskaźnikowa'!$A$30</c:f>
              <c:strCache>
                <c:ptCount val="1"/>
                <c:pt idx="0">
                  <c:v>Cykl zapasów</c:v>
                </c:pt>
              </c:strCache>
            </c:strRef>
          </c:tx>
          <c:marker>
            <c:symbol val="none"/>
          </c:marker>
          <c:cat>
            <c:strRef>
              <c:f>'Analiza wskaźnikowa'!$B$29:$D$29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wskaźnikowa'!$B$30:$D$30</c:f>
              <c:numCache>
                <c:formatCode>#,##0</c:formatCode>
                <c:ptCount val="3"/>
                <c:pt idx="0">
                  <c:v>49.516816468541606</c:v>
                </c:pt>
                <c:pt idx="1">
                  <c:v>37.393526174533037</c:v>
                </c:pt>
                <c:pt idx="2">
                  <c:v>42.087082322195258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'Analiza wskaźnikowa'!$A$31</c:f>
              <c:strCache>
                <c:ptCount val="1"/>
                <c:pt idx="0">
                  <c:v>Cykl należności</c:v>
                </c:pt>
              </c:strCache>
            </c:strRef>
          </c:tx>
          <c:marker>
            <c:symbol val="none"/>
          </c:marker>
          <c:cat>
            <c:strRef>
              <c:f>'Analiza wskaźnikowa'!$B$29:$D$29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wskaźnikowa'!$B$31:$D$31</c:f>
              <c:numCache>
                <c:formatCode>#,##0</c:formatCode>
                <c:ptCount val="3"/>
                <c:pt idx="0">
                  <c:v>54.50130472600754</c:v>
                </c:pt>
                <c:pt idx="1">
                  <c:v>49.881123431019056</c:v>
                </c:pt>
                <c:pt idx="2">
                  <c:v>67.116529774127301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'Analiza wskaźnikowa'!$A$33</c:f>
              <c:strCache>
                <c:ptCount val="1"/>
                <c:pt idx="0">
                  <c:v>Cykl zobowiązań</c:v>
                </c:pt>
              </c:strCache>
            </c:strRef>
          </c:tx>
          <c:marker>
            <c:symbol val="none"/>
          </c:marker>
          <c:cat>
            <c:strRef>
              <c:f>'Analiza wskaźnikowa'!$B$29:$D$29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wskaźnikowa'!$B$33:$D$33</c:f>
              <c:numCache>
                <c:formatCode>#,##0</c:formatCode>
                <c:ptCount val="3"/>
                <c:pt idx="0">
                  <c:v>28.192519570890113</c:v>
                </c:pt>
                <c:pt idx="1">
                  <c:v>25.64806029224388</c:v>
                </c:pt>
                <c:pt idx="2">
                  <c:v>48.74047974612656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95200"/>
        <c:axId val="44201088"/>
      </c:lineChart>
      <c:catAx>
        <c:axId val="4419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201088"/>
        <c:crosses val="autoZero"/>
        <c:auto val="1"/>
        <c:lblAlgn val="ctr"/>
        <c:lblOffset val="100"/>
        <c:noMultiLvlLbl val="0"/>
      </c:catAx>
      <c:valAx>
        <c:axId val="442010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1952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wskaźnikowa'!$A$35</c:f>
              <c:strCache>
                <c:ptCount val="1"/>
                <c:pt idx="0">
                  <c:v>Zapotrzebowanie na kapitał obrotowy</c:v>
                </c:pt>
              </c:strCache>
            </c:strRef>
          </c:tx>
          <c:marker>
            <c:symbol val="none"/>
          </c:marker>
          <c:cat>
            <c:strRef>
              <c:f>'Analiza wskaźnikowa'!$B$29:$D$29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wskaźnikowa'!$B$35:$D$35</c:f>
              <c:numCache>
                <c:formatCode>#,##0</c:formatCode>
                <c:ptCount val="3"/>
                <c:pt idx="0">
                  <c:v>7165</c:v>
                </c:pt>
                <c:pt idx="1">
                  <c:v>6228</c:v>
                </c:pt>
                <c:pt idx="2">
                  <c:v>5915.9999999999991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17856"/>
        <c:axId val="44219392"/>
      </c:lineChart>
      <c:catAx>
        <c:axId val="442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219392"/>
        <c:crosses val="autoZero"/>
        <c:auto val="1"/>
        <c:lblAlgn val="ctr"/>
        <c:lblOffset val="100"/>
        <c:noMultiLvlLbl val="0"/>
      </c:catAx>
      <c:valAx>
        <c:axId val="442193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2178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wskaźnikowa'!$A$39</c:f>
              <c:strCache>
                <c:ptCount val="1"/>
                <c:pt idx="0">
                  <c:v>Sprzedaż w skali rocznej</c:v>
                </c:pt>
              </c:strCache>
            </c:strRef>
          </c:tx>
          <c:marker>
            <c:symbol val="none"/>
          </c:marker>
          <c:cat>
            <c:strRef>
              <c:f>'Analiza wskaźnikowa'!$B$38:$D$38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wskaźnikowa'!$B$39:$D$39</c:f>
              <c:numCache>
                <c:formatCode>#,##0</c:formatCode>
                <c:ptCount val="3"/>
                <c:pt idx="0">
                  <c:v>34490</c:v>
                </c:pt>
                <c:pt idx="1">
                  <c:v>36887</c:v>
                </c:pt>
                <c:pt idx="2">
                  <c:v>35713.333333333336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24288"/>
        <c:axId val="45225088"/>
      </c:lineChart>
      <c:catAx>
        <c:axId val="4492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5225088"/>
        <c:crosses val="autoZero"/>
        <c:auto val="1"/>
        <c:lblAlgn val="ctr"/>
        <c:lblOffset val="100"/>
        <c:noMultiLvlLbl val="0"/>
      </c:catAx>
      <c:valAx>
        <c:axId val="452250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9242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wskaźnikowa'!$A$42</c:f>
              <c:strCache>
                <c:ptCount val="1"/>
                <c:pt idx="0">
                  <c:v>Wartość majątku trwałego</c:v>
                </c:pt>
              </c:strCache>
            </c:strRef>
          </c:tx>
          <c:marker>
            <c:symbol val="none"/>
          </c:marker>
          <c:cat>
            <c:strRef>
              <c:f>'Analiza wskaźnikowa'!$B$38:$D$38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wskaźnikowa'!$B$42:$D$42</c:f>
              <c:numCache>
                <c:formatCode>#,##0</c:formatCode>
                <c:ptCount val="3"/>
                <c:pt idx="0">
                  <c:v>24945</c:v>
                </c:pt>
                <c:pt idx="1">
                  <c:v>23300</c:v>
                </c:pt>
                <c:pt idx="2">
                  <c:v>22729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66432"/>
        <c:axId val="45267968"/>
      </c:lineChart>
      <c:catAx>
        <c:axId val="4526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5267968"/>
        <c:crosses val="autoZero"/>
        <c:auto val="1"/>
        <c:lblAlgn val="ctr"/>
        <c:lblOffset val="100"/>
        <c:noMultiLvlLbl val="0"/>
      </c:catAx>
      <c:valAx>
        <c:axId val="452679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52664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Zmiany w wartości środków pieniężnych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'Suplement CF'!$A$38</c:f>
              <c:strCache>
                <c:ptCount val="1"/>
                <c:pt idx="0">
                  <c:v>Stan środków na początek okresu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'Suplement CF'!$B$9:$C$9</c:f>
              <c:strCache>
                <c:ptCount val="2"/>
                <c:pt idx="0">
                  <c:v>2013 rok</c:v>
                </c:pt>
                <c:pt idx="1">
                  <c:v>3 kwartały 2014</c:v>
                </c:pt>
              </c:strCache>
            </c:strRef>
          </c:cat>
          <c:val>
            <c:numRef>
              <c:f>'Suplement CF'!$B$38:$C$38</c:f>
              <c:numCache>
                <c:formatCode>#,##0</c:formatCode>
                <c:ptCount val="2"/>
                <c:pt idx="0">
                  <c:v>1817</c:v>
                </c:pt>
                <c:pt idx="1">
                  <c:v>7464</c:v>
                </c:pt>
              </c:numCache>
            </c:numRef>
          </c:val>
        </c:ser>
        <c:ser>
          <c:idx val="1"/>
          <c:order val="1"/>
          <c:tx>
            <c:strRef>
              <c:f>'Suplement CF'!$A$39</c:f>
              <c:strCache>
                <c:ptCount val="1"/>
                <c:pt idx="0">
                  <c:v>RAZEM ZMIANY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'Suplement CF'!$B$9:$C$9</c:f>
              <c:strCache>
                <c:ptCount val="2"/>
                <c:pt idx="0">
                  <c:v>2013 rok</c:v>
                </c:pt>
                <c:pt idx="1">
                  <c:v>3 kwartały 2014</c:v>
                </c:pt>
              </c:strCache>
            </c:strRef>
          </c:cat>
          <c:val>
            <c:numRef>
              <c:f>'Suplement CF'!$B$39:$C$39</c:f>
              <c:numCache>
                <c:formatCode>#,##0</c:formatCode>
                <c:ptCount val="2"/>
                <c:pt idx="0">
                  <c:v>5647</c:v>
                </c:pt>
                <c:pt idx="1">
                  <c:v>925</c:v>
                </c:pt>
              </c:numCache>
            </c:numRef>
          </c:val>
        </c:ser>
        <c:ser>
          <c:idx val="2"/>
          <c:order val="2"/>
          <c:tx>
            <c:strRef>
              <c:f>'Suplement CF'!$A$40</c:f>
              <c:strCache>
                <c:ptCount val="1"/>
                <c:pt idx="0">
                  <c:v>Stan środków na koniec okresu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'Suplement CF'!$B$9:$C$9</c:f>
              <c:strCache>
                <c:ptCount val="2"/>
                <c:pt idx="0">
                  <c:v>2013 rok</c:v>
                </c:pt>
                <c:pt idx="1">
                  <c:v>3 kwartały 2014</c:v>
                </c:pt>
              </c:strCache>
            </c:strRef>
          </c:cat>
          <c:val>
            <c:numRef>
              <c:f>'Suplement CF'!$B$40:$C$40</c:f>
              <c:numCache>
                <c:formatCode>#,##0</c:formatCode>
                <c:ptCount val="2"/>
                <c:pt idx="0">
                  <c:v>7464</c:v>
                </c:pt>
                <c:pt idx="1">
                  <c:v>8389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87680"/>
        <c:axId val="45445120"/>
      </c:barChart>
      <c:catAx>
        <c:axId val="4528768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pl-PL"/>
          </a:p>
        </c:txPr>
        <c:crossAx val="45445120"/>
        <c:crosses val="autoZero"/>
        <c:auto val="1"/>
        <c:lblAlgn val="ctr"/>
        <c:lblOffset val="100"/>
        <c:noMultiLvlLbl val="0"/>
      </c:catAx>
      <c:valAx>
        <c:axId val="454451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52876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Rachunek przepływów w poprzednim okresie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'Suplement CF'!$B$9</c:f>
              <c:strCache>
                <c:ptCount val="1"/>
                <c:pt idx="0">
                  <c:v>2013 rok</c:v>
                </c:pt>
              </c:strCache>
            </c:strRef>
          </c:tx>
          <c:invertIfNegative val="0"/>
          <c:cat>
            <c:strRef>
              <c:f>('Suplement CF'!$A$16,'Suplement CF'!$A$18:$A$22,'Suplement CF'!$A$27,'Suplement CF'!$A$31,'Suplement CF'!$A$36,'Suplement CF'!$A$39)</c:f>
              <c:strCache>
                <c:ptCount val="10"/>
                <c:pt idx="0">
                  <c:v>Wynik po korektach</c:v>
                </c:pt>
                <c:pt idx="1">
                  <c:v>Zapasy</c:v>
                </c:pt>
                <c:pt idx="2">
                  <c:v>Kredyt kupiecki udzielony</c:v>
                </c:pt>
                <c:pt idx="3">
                  <c:v>Kredyt kupiecki (ZK)</c:v>
                </c:pt>
                <c:pt idx="4">
                  <c:v>Razem zmiany w kapitale obrotowym</c:v>
                </c:pt>
                <c:pt idx="5">
                  <c:v>I. PRZEPŁYWY OPERACYJNE</c:v>
                </c:pt>
                <c:pt idx="6">
                  <c:v>II. PRZEPŁYWY INWESTYCYJNE</c:v>
                </c:pt>
                <c:pt idx="7">
                  <c:v>III. PRZEPŁYWY FINANSOWE</c:v>
                </c:pt>
                <c:pt idx="8">
                  <c:v>IV. FINANSOWANIE WŁAŚCICIELSKIE</c:v>
                </c:pt>
                <c:pt idx="9">
                  <c:v>RAZEM ZMIANY</c:v>
                </c:pt>
              </c:strCache>
            </c:strRef>
          </c:cat>
          <c:val>
            <c:numRef>
              <c:f>('Suplement CF'!$B$16,'Suplement CF'!$B$18:$B$22,'Suplement CF'!$B$27,'Suplement CF'!$B$31,'Suplement CF'!$B$36,'Suplement CF'!$B$39)</c:f>
              <c:numCache>
                <c:formatCode>#,##0</c:formatCode>
                <c:ptCount val="10"/>
                <c:pt idx="0">
                  <c:v>5479</c:v>
                </c:pt>
                <c:pt idx="1">
                  <c:v>900</c:v>
                </c:pt>
                <c:pt idx="2">
                  <c:v>109</c:v>
                </c:pt>
                <c:pt idx="3">
                  <c:v>-72</c:v>
                </c:pt>
                <c:pt idx="4">
                  <c:v>937</c:v>
                </c:pt>
                <c:pt idx="5">
                  <c:v>6416</c:v>
                </c:pt>
                <c:pt idx="6">
                  <c:v>-803</c:v>
                </c:pt>
                <c:pt idx="7">
                  <c:v>-31</c:v>
                </c:pt>
                <c:pt idx="8">
                  <c:v>65</c:v>
                </c:pt>
                <c:pt idx="9">
                  <c:v>5647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78272"/>
        <c:axId val="45479808"/>
      </c:barChart>
      <c:catAx>
        <c:axId val="45478272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-5400000" vert="horz"/>
          <a:lstStyle/>
          <a:p>
            <a:pPr>
              <a:defRPr sz="1400"/>
            </a:pPr>
            <a:endParaRPr lang="pl-PL"/>
          </a:p>
        </c:txPr>
        <c:crossAx val="45479808"/>
        <c:crosses val="autoZero"/>
        <c:auto val="1"/>
        <c:lblAlgn val="ctr"/>
        <c:lblOffset val="100"/>
        <c:noMultiLvlLbl val="0"/>
      </c:catAx>
      <c:valAx>
        <c:axId val="454798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54782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Rachunek przepływów w bieżącym</a:t>
            </a:r>
            <a:r>
              <a:rPr lang="pl-PL" baseline="0"/>
              <a:t> </a:t>
            </a:r>
            <a:r>
              <a:rPr lang="pl-PL"/>
              <a:t>okresie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'Suplement CF'!$C$9</c:f>
              <c:strCache>
                <c:ptCount val="1"/>
                <c:pt idx="0">
                  <c:v>3 kwartały 2014</c:v>
                </c:pt>
              </c:strCache>
            </c:strRef>
          </c:tx>
          <c:invertIfNegative val="0"/>
          <c:cat>
            <c:strRef>
              <c:f>('Suplement CF'!$A$16,'Suplement CF'!$A$18:$A$22,'Suplement CF'!$A$27,'Suplement CF'!$A$31,'Suplement CF'!$A$36,'Suplement CF'!$A$39)</c:f>
              <c:strCache>
                <c:ptCount val="10"/>
                <c:pt idx="0">
                  <c:v>Wynik po korektach</c:v>
                </c:pt>
                <c:pt idx="1">
                  <c:v>Zapasy</c:v>
                </c:pt>
                <c:pt idx="2">
                  <c:v>Kredyt kupiecki udzielony</c:v>
                </c:pt>
                <c:pt idx="3">
                  <c:v>Kredyt kupiecki (ZK)</c:v>
                </c:pt>
                <c:pt idx="4">
                  <c:v>Razem zmiany w kapitale obrotowym</c:v>
                </c:pt>
                <c:pt idx="5">
                  <c:v>I. PRZEPŁYWY OPERACYJNE</c:v>
                </c:pt>
                <c:pt idx="6">
                  <c:v>II. PRZEPŁYWY INWESTYCYJNE</c:v>
                </c:pt>
                <c:pt idx="7">
                  <c:v>III. PRZEPŁYWY FINANSOWE</c:v>
                </c:pt>
                <c:pt idx="8">
                  <c:v>IV. FINANSOWANIE WŁAŚCICIELSKIE</c:v>
                </c:pt>
                <c:pt idx="9">
                  <c:v>RAZEM ZMIANY</c:v>
                </c:pt>
              </c:strCache>
            </c:strRef>
          </c:cat>
          <c:val>
            <c:numRef>
              <c:f>('Suplement CF'!$C$16,'Suplement CF'!$C$18:$C$22,'Suplement CF'!$C$27,'Suplement CF'!$C$31,'Suplement CF'!$C$36,'Suplement CF'!$C$39)</c:f>
              <c:numCache>
                <c:formatCode>#,##0</c:formatCode>
                <c:ptCount val="10"/>
                <c:pt idx="0">
                  <c:v>4331</c:v>
                </c:pt>
                <c:pt idx="1">
                  <c:v>-339</c:v>
                </c:pt>
                <c:pt idx="2">
                  <c:v>-1526</c:v>
                </c:pt>
                <c:pt idx="3">
                  <c:v>2177</c:v>
                </c:pt>
                <c:pt idx="4">
                  <c:v>312</c:v>
                </c:pt>
                <c:pt idx="5">
                  <c:v>4643</c:v>
                </c:pt>
                <c:pt idx="6">
                  <c:v>-1002</c:v>
                </c:pt>
                <c:pt idx="7">
                  <c:v>148</c:v>
                </c:pt>
                <c:pt idx="8">
                  <c:v>-2864</c:v>
                </c:pt>
                <c:pt idx="9">
                  <c:v>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84992"/>
        <c:axId val="45686784"/>
      </c:barChart>
      <c:catAx>
        <c:axId val="45684992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-5400000" vert="horz"/>
          <a:lstStyle/>
          <a:p>
            <a:pPr>
              <a:defRPr sz="1400"/>
            </a:pPr>
            <a:endParaRPr lang="pl-PL"/>
          </a:p>
        </c:txPr>
        <c:crossAx val="45686784"/>
        <c:crosses val="autoZero"/>
        <c:auto val="1"/>
        <c:lblAlgn val="ctr"/>
        <c:lblOffset val="100"/>
        <c:noMultiLvlLbl val="0"/>
      </c:catAx>
      <c:valAx>
        <c:axId val="456867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56849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Wyniki w badanych okresach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Dane!$A$14</c:f>
              <c:strCache>
                <c:ptCount val="1"/>
                <c:pt idx="0">
                  <c:v>Wynik na sprzedaży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Dane!$B$14:$D$14</c:f>
              <c:numCache>
                <c:formatCode>#,##0</c:formatCode>
                <c:ptCount val="3"/>
                <c:pt idx="0">
                  <c:v>2850</c:v>
                </c:pt>
                <c:pt idx="1">
                  <c:v>3940</c:v>
                </c:pt>
                <c:pt idx="2">
                  <c:v>3114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Dane!$A$15</c:f>
              <c:strCache>
                <c:ptCount val="1"/>
                <c:pt idx="0">
                  <c:v>EBIT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Dane!$B$15:$D$15</c:f>
              <c:numCache>
                <c:formatCode>#,##0</c:formatCode>
                <c:ptCount val="3"/>
                <c:pt idx="0">
                  <c:v>2928</c:v>
                </c:pt>
                <c:pt idx="1">
                  <c:v>3946</c:v>
                </c:pt>
                <c:pt idx="2">
                  <c:v>3604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Dane!$A$16</c:f>
              <c:strCache>
                <c:ptCount val="1"/>
                <c:pt idx="0">
                  <c:v>EBITDA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Dane!$B$16:$D$16</c:f>
              <c:numCache>
                <c:formatCode>#,##0</c:formatCode>
                <c:ptCount val="3"/>
                <c:pt idx="0">
                  <c:v>5349</c:v>
                </c:pt>
                <c:pt idx="1">
                  <c:v>6394</c:v>
                </c:pt>
                <c:pt idx="2">
                  <c:v>5177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Dane!$A$17</c:f>
              <c:strCache>
                <c:ptCount val="1"/>
                <c:pt idx="0">
                  <c:v>Wynik netto</c:v>
                </c:pt>
              </c:strCache>
            </c:strRef>
          </c:tx>
          <c:marker>
            <c:symbol val="none"/>
          </c:marker>
          <c:cat>
            <c:strRef>
              <c:f>Dane!$B$9:$D$9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Dane!$B$17:$D$17</c:f>
              <c:numCache>
                <c:formatCode>#,##0</c:formatCode>
                <c:ptCount val="3"/>
                <c:pt idx="0">
                  <c:v>2490</c:v>
                </c:pt>
                <c:pt idx="1">
                  <c:v>3109</c:v>
                </c:pt>
                <c:pt idx="2">
                  <c:v>3029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067392"/>
        <c:axId val="87753856"/>
      </c:lineChart>
      <c:catAx>
        <c:axId val="8106739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87753856"/>
        <c:crosses val="autoZero"/>
        <c:auto val="1"/>
        <c:lblAlgn val="ctr"/>
        <c:lblOffset val="100"/>
        <c:noMultiLvlLbl val="0"/>
      </c:catAx>
      <c:valAx>
        <c:axId val="877538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10673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Aktywa przedsiębiorstwa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Dane!$A$21</c:f>
              <c:strCache>
                <c:ptCount val="1"/>
                <c:pt idx="0">
                  <c:v>Aktywa trwałe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Dane!$B$21:$D$21</c:f>
              <c:numCache>
                <c:formatCode>#,##0</c:formatCode>
                <c:ptCount val="3"/>
                <c:pt idx="0">
                  <c:v>24945</c:v>
                </c:pt>
                <c:pt idx="1">
                  <c:v>23300</c:v>
                </c:pt>
                <c:pt idx="2">
                  <c:v>22729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Dane!$A$22</c:f>
              <c:strCache>
                <c:ptCount val="1"/>
                <c:pt idx="0">
                  <c:v>Aktywa obrotowe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Dane!$B$22:$D$22</c:f>
              <c:numCache>
                <c:formatCode>#,##0</c:formatCode>
                <c:ptCount val="3"/>
                <c:pt idx="0">
                  <c:v>11780</c:v>
                </c:pt>
                <c:pt idx="1">
                  <c:v>16437</c:v>
                </c:pt>
                <c:pt idx="2">
                  <c:v>19452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Dane!$A$28</c:f>
              <c:strCache>
                <c:ptCount val="1"/>
                <c:pt idx="0">
                  <c:v>Razem aktywa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Dane!$B$28:$D$28</c:f>
              <c:numCache>
                <c:formatCode>#,##0</c:formatCode>
                <c:ptCount val="3"/>
                <c:pt idx="0">
                  <c:v>36725</c:v>
                </c:pt>
                <c:pt idx="1">
                  <c:v>39737</c:v>
                </c:pt>
                <c:pt idx="2">
                  <c:v>42181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8064"/>
        <c:axId val="44266240"/>
      </c:lineChart>
      <c:catAx>
        <c:axId val="44248064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266240"/>
        <c:crosses val="autoZero"/>
        <c:auto val="1"/>
        <c:lblAlgn val="ctr"/>
        <c:lblOffset val="100"/>
        <c:noMultiLvlLbl val="0"/>
      </c:catAx>
      <c:valAx>
        <c:axId val="4426624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2480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Źr</a:t>
            </a:r>
            <a:r>
              <a:rPr lang="pl-PL"/>
              <a:t>ódła finansowania przedsiębiorstwa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Dane!$A$29</c:f>
              <c:strCache>
                <c:ptCount val="1"/>
                <c:pt idx="0">
                  <c:v>Kapitały własne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Dane!$B$29:$D$29</c:f>
              <c:numCache>
                <c:formatCode>#,##0</c:formatCode>
                <c:ptCount val="3"/>
                <c:pt idx="0">
                  <c:v>29474</c:v>
                </c:pt>
                <c:pt idx="1">
                  <c:v>32648</c:v>
                </c:pt>
                <c:pt idx="2">
                  <c:v>32813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Dane!$A$30</c:f>
              <c:strCache>
                <c:ptCount val="1"/>
                <c:pt idx="0">
                  <c:v>Kapitały obce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Dane!$B$30:$D$30</c:f>
              <c:numCache>
                <c:formatCode>#,##0</c:formatCode>
                <c:ptCount val="3"/>
                <c:pt idx="0">
                  <c:v>7251</c:v>
                </c:pt>
                <c:pt idx="1">
                  <c:v>7089</c:v>
                </c:pt>
                <c:pt idx="2">
                  <c:v>9368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Dane!$A$35</c:f>
              <c:strCache>
                <c:ptCount val="1"/>
                <c:pt idx="0">
                  <c:v>Razem pasywa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Dane!$B$35:$D$35</c:f>
              <c:numCache>
                <c:formatCode>#,##0</c:formatCode>
                <c:ptCount val="3"/>
                <c:pt idx="0">
                  <c:v>36725</c:v>
                </c:pt>
                <c:pt idx="1">
                  <c:v>39737</c:v>
                </c:pt>
                <c:pt idx="2">
                  <c:v>42181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10592"/>
        <c:axId val="44112128"/>
      </c:lineChart>
      <c:catAx>
        <c:axId val="4411059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112128"/>
        <c:crosses val="autoZero"/>
        <c:auto val="1"/>
        <c:lblAlgn val="ctr"/>
        <c:lblOffset val="100"/>
        <c:noMultiLvlLbl val="0"/>
      </c:catAx>
      <c:valAx>
        <c:axId val="441121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1105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Wartość księgowa przedsiębiorstwa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Dane!$A$28</c:f>
              <c:strCache>
                <c:ptCount val="1"/>
                <c:pt idx="0">
                  <c:v>Razem aktywa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Dane!$B$28:$D$28</c:f>
              <c:numCache>
                <c:formatCode>#,##0</c:formatCode>
                <c:ptCount val="3"/>
                <c:pt idx="0">
                  <c:v>36725</c:v>
                </c:pt>
                <c:pt idx="1">
                  <c:v>39737</c:v>
                </c:pt>
                <c:pt idx="2">
                  <c:v>42181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Dane!$A$30</c:f>
              <c:strCache>
                <c:ptCount val="1"/>
                <c:pt idx="0">
                  <c:v>Kapitały obce</c:v>
                </c:pt>
              </c:strCache>
            </c:strRef>
          </c:tx>
          <c:marker>
            <c:symbol val="none"/>
          </c:marker>
          <c:cat>
            <c:strRef>
              <c:f>Dane!$B$20:$D$20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Dane!$B$30:$D$30</c:f>
              <c:numCache>
                <c:formatCode>#,##0</c:formatCode>
                <c:ptCount val="3"/>
                <c:pt idx="0">
                  <c:v>7251</c:v>
                </c:pt>
                <c:pt idx="1">
                  <c:v>7089</c:v>
                </c:pt>
                <c:pt idx="2">
                  <c:v>9368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/>
          <c:downBars>
            <c:spPr>
              <a:solidFill>
                <a:srgbClr val="00B050"/>
              </a:solidFill>
            </c:spPr>
          </c:downBars>
        </c:upDownBars>
        <c:marker val="1"/>
        <c:smooth val="0"/>
        <c:axId val="44371968"/>
        <c:axId val="44373504"/>
      </c:lineChart>
      <c:catAx>
        <c:axId val="44371968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373504"/>
        <c:crosses val="autoZero"/>
        <c:auto val="1"/>
        <c:lblAlgn val="ctr"/>
        <c:lblOffset val="100"/>
        <c:noMultiLvlLbl val="0"/>
      </c:catAx>
      <c:valAx>
        <c:axId val="443735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43719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Wskaźniki rentowności sprzedaży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wskaźnikowa'!$A$10</c:f>
              <c:strCache>
                <c:ptCount val="1"/>
                <c:pt idx="0">
                  <c:v>Rentowność sprzedaży</c:v>
                </c:pt>
              </c:strCache>
            </c:strRef>
          </c:tx>
          <c:marker>
            <c:symbol val="none"/>
          </c:marker>
          <c:cat>
            <c:strRef>
              <c:f>'Analiza wskaźnikowa'!$B$9:$D$9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wskaźnikowa'!$B$10:$D$10</c:f>
              <c:numCache>
                <c:formatCode>0.0%</c:formatCode>
                <c:ptCount val="3"/>
                <c:pt idx="0">
                  <c:v>8.2632647144099736E-2</c:v>
                </c:pt>
                <c:pt idx="1">
                  <c:v>0.10681269824057256</c:v>
                </c:pt>
                <c:pt idx="2">
                  <c:v>0.11625910024267314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'Analiza wskaźnikowa'!$A$11</c:f>
              <c:strCache>
                <c:ptCount val="1"/>
                <c:pt idx="0">
                  <c:v>Rentowność EBIT'u</c:v>
                </c:pt>
              </c:strCache>
            </c:strRef>
          </c:tx>
          <c:marker>
            <c:symbol val="none"/>
          </c:marker>
          <c:cat>
            <c:strRef>
              <c:f>'Analiza wskaźnikowa'!$B$9:$D$9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wskaźnikowa'!$B$11:$D$11</c:f>
              <c:numCache>
                <c:formatCode>0.0%</c:formatCode>
                <c:ptCount val="3"/>
                <c:pt idx="0">
                  <c:v>8.4894172223832998E-2</c:v>
                </c:pt>
                <c:pt idx="1">
                  <c:v>0.10697535717190339</c:v>
                </c:pt>
                <c:pt idx="2">
                  <c:v>0.13455292141123762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'Analiza wskaźnikowa'!$A$12</c:f>
              <c:strCache>
                <c:ptCount val="1"/>
                <c:pt idx="0">
                  <c:v>Zyskowność netto (ROS)</c:v>
                </c:pt>
              </c:strCache>
            </c:strRef>
          </c:tx>
          <c:marker>
            <c:symbol val="none"/>
          </c:marker>
          <c:cat>
            <c:strRef>
              <c:f>'Analiza wskaźnikowa'!$B$9:$D$9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wskaźnikowa'!$B$12:$D$12</c:f>
              <c:numCache>
                <c:formatCode>0.0%</c:formatCode>
                <c:ptCount val="3"/>
                <c:pt idx="0">
                  <c:v>7.21948390837924E-2</c:v>
                </c:pt>
                <c:pt idx="1">
                  <c:v>8.4284436251253828E-2</c:v>
                </c:pt>
                <c:pt idx="2">
                  <c:v>0.11308568228486093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74368"/>
        <c:axId val="44475904"/>
      </c:lineChart>
      <c:catAx>
        <c:axId val="444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475904"/>
        <c:crosses val="autoZero"/>
        <c:auto val="1"/>
        <c:lblAlgn val="ctr"/>
        <c:lblOffset val="100"/>
        <c:noMultiLvlLbl val="0"/>
      </c:catAx>
      <c:valAx>
        <c:axId val="4447590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44743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Wskaźnik rentowności kapitału własnego oraz</a:t>
            </a:r>
            <a:r>
              <a:rPr lang="pl-PL" baseline="0"/>
              <a:t> zaangażowanego majątku</a:t>
            </a:r>
            <a:endParaRPr lang="pl-PL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wskaźnikowa'!$A$13</c:f>
              <c:strCache>
                <c:ptCount val="1"/>
                <c:pt idx="0">
                  <c:v>Rentowność kapitałów (ROE)</c:v>
                </c:pt>
              </c:strCache>
            </c:strRef>
          </c:tx>
          <c:marker>
            <c:symbol val="none"/>
          </c:marker>
          <c:cat>
            <c:strRef>
              <c:f>'Analiza wskaźnikowa'!$B$9:$D$9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wskaźnikowa'!$B$13:$D$13</c:f>
              <c:numCache>
                <c:formatCode>0.0%</c:formatCode>
                <c:ptCount val="3"/>
                <c:pt idx="0">
                  <c:v>8.4481237701024628E-2</c:v>
                </c:pt>
                <c:pt idx="1">
                  <c:v>9.5227885322224939E-2</c:v>
                </c:pt>
                <c:pt idx="2">
                  <c:v>0.12308129907861722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'Analiza wskaźnikowa'!$A$14</c:f>
              <c:strCache>
                <c:ptCount val="1"/>
                <c:pt idx="0">
                  <c:v>Rentowność majątku (ROA)</c:v>
                </c:pt>
              </c:strCache>
            </c:strRef>
          </c:tx>
          <c:marker>
            <c:symbol val="none"/>
          </c:marker>
          <c:cat>
            <c:strRef>
              <c:f>'Analiza wskaźnikowa'!$B$9:$D$9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wskaźnikowa'!$B$14:$D$14</c:f>
              <c:numCache>
                <c:formatCode>0.0%</c:formatCode>
                <c:ptCount val="3"/>
                <c:pt idx="0">
                  <c:v>6.7801225323349215E-2</c:v>
                </c:pt>
                <c:pt idx="1">
                  <c:v>7.8239424214208417E-2</c:v>
                </c:pt>
                <c:pt idx="2">
                  <c:v>9.5746110017938563E-2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01632"/>
        <c:axId val="44511616"/>
      </c:lineChart>
      <c:catAx>
        <c:axId val="4450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11616"/>
        <c:crosses val="autoZero"/>
        <c:auto val="1"/>
        <c:lblAlgn val="ctr"/>
        <c:lblOffset val="100"/>
        <c:noMultiLvlLbl val="0"/>
      </c:catAx>
      <c:valAx>
        <c:axId val="4451161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450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Wskaźniki</a:t>
            </a:r>
            <a:r>
              <a:rPr lang="pl-PL" baseline="0"/>
              <a:t> płynności</a:t>
            </a:r>
            <a:endParaRPr lang="pl-PL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wskaźnikowa'!$A$18</c:f>
              <c:strCache>
                <c:ptCount val="1"/>
                <c:pt idx="0">
                  <c:v>Wskaźnik płynności gotówkowej (I st.)</c:v>
                </c:pt>
              </c:strCache>
            </c:strRef>
          </c:tx>
          <c:marker>
            <c:symbol val="none"/>
          </c:marker>
          <c:cat>
            <c:strRef>
              <c:f>'Analiza wskaźnikowa'!$B$17:$D$17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wskaźnikowa'!$B$18:$D$18</c:f>
              <c:numCache>
                <c:formatCode>0.0%</c:formatCode>
                <c:ptCount val="3"/>
                <c:pt idx="0">
                  <c:v>0.6820570570570571</c:v>
                </c:pt>
                <c:pt idx="1">
                  <c:v>2.8796296296296298</c:v>
                </c:pt>
                <c:pt idx="2">
                  <c:v>1.7590689872090586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'Analiza wskaźnikowa'!$A$19</c:f>
              <c:strCache>
                <c:ptCount val="1"/>
                <c:pt idx="0">
                  <c:v>Wskaźnik płynności szybkiej (II st.)</c:v>
                </c:pt>
              </c:strCache>
            </c:strRef>
          </c:tx>
          <c:marker>
            <c:symbol val="none"/>
          </c:marker>
          <c:cat>
            <c:strRef>
              <c:f>'Analiza wskaźnikowa'!$B$17:$D$17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wskaźnikowa'!$B$19:$D$19</c:f>
              <c:numCache>
                <c:formatCode>0.0%</c:formatCode>
                <c:ptCount val="3"/>
                <c:pt idx="0">
                  <c:v>2.6152402402402402</c:v>
                </c:pt>
                <c:pt idx="1">
                  <c:v>4.8244598765432096</c:v>
                </c:pt>
                <c:pt idx="2">
                  <c:v>3.1360872300272593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'Analiza wskaźnikowa'!$A$20</c:f>
              <c:strCache>
                <c:ptCount val="1"/>
                <c:pt idx="0">
                  <c:v>Wskaźnik płynności bieżącej (III st.)</c:v>
                </c:pt>
              </c:strCache>
            </c:strRef>
          </c:tx>
          <c:marker>
            <c:symbol val="none"/>
          </c:marker>
          <c:cat>
            <c:strRef>
              <c:f>'Analiza wskaźnikowa'!$B$17:$D$17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wskaźnikowa'!$B$20:$D$20</c:f>
              <c:numCache>
                <c:formatCode>0.0%</c:formatCode>
                <c:ptCount val="3"/>
                <c:pt idx="0">
                  <c:v>4.4219219219219221</c:v>
                </c:pt>
                <c:pt idx="1">
                  <c:v>6.3414351851851851</c:v>
                </c:pt>
                <c:pt idx="2">
                  <c:v>4.0788425246382891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0512"/>
        <c:axId val="44654592"/>
      </c:lineChart>
      <c:catAx>
        <c:axId val="446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654592"/>
        <c:crosses val="autoZero"/>
        <c:auto val="1"/>
        <c:lblAlgn val="ctr"/>
        <c:lblOffset val="100"/>
        <c:noMultiLvlLbl val="0"/>
      </c:catAx>
      <c:valAx>
        <c:axId val="4465459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46405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pl-PL"/>
              <a:t>Wskaźniki zadłużenia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'Analiza wskaźnikowa'!$A$24</c:f>
              <c:strCache>
                <c:ptCount val="1"/>
                <c:pt idx="0">
                  <c:v>Zadłużenie długoterminowe</c:v>
                </c:pt>
              </c:strCache>
            </c:strRef>
          </c:tx>
          <c:marker>
            <c:symbol val="none"/>
          </c:marker>
          <c:cat>
            <c:strRef>
              <c:f>'Analiza wskaźnikowa'!$B$23:$D$23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wskaźnikowa'!$B$24:$D$24</c:f>
              <c:numCache>
                <c:formatCode>0.0%</c:formatCode>
                <c:ptCount val="3"/>
                <c:pt idx="0">
                  <c:v>3.3492171545268889E-3</c:v>
                </c:pt>
                <c:pt idx="1">
                  <c:v>2.3152225885195157E-3</c:v>
                </c:pt>
                <c:pt idx="2">
                  <c:v>5.6897655342452759E-3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'Analiza wskaźnikowa'!$A$25</c:f>
              <c:strCache>
                <c:ptCount val="1"/>
                <c:pt idx="0">
                  <c:v>Zadłużenie krótkoterminowe</c:v>
                </c:pt>
              </c:strCache>
            </c:strRef>
          </c:tx>
          <c:marker>
            <c:symbol val="none"/>
          </c:marker>
          <c:cat>
            <c:strRef>
              <c:f>'Analiza wskaźnikowa'!$B$23:$D$23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wskaźnikowa'!$B$25:$D$25</c:f>
              <c:numCache>
                <c:formatCode>0.0%</c:formatCode>
                <c:ptCount val="3"/>
                <c:pt idx="0">
                  <c:v>7.2539142273655544E-2</c:v>
                </c:pt>
                <c:pt idx="1">
                  <c:v>6.5228879885245492E-2</c:v>
                </c:pt>
                <c:pt idx="2">
                  <c:v>0.11306038263673218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'Analiza wskaźnikowa'!$A$26</c:f>
              <c:strCache>
                <c:ptCount val="1"/>
                <c:pt idx="0">
                  <c:v>Zadłużenie ogółem</c:v>
                </c:pt>
              </c:strCache>
            </c:strRef>
          </c:tx>
          <c:marker>
            <c:symbol val="none"/>
          </c:marker>
          <c:cat>
            <c:strRef>
              <c:f>'Analiza wskaźnikowa'!$B$23:$D$23</c:f>
              <c:strCache>
                <c:ptCount val="3"/>
                <c:pt idx="0">
                  <c:v>2012 rok</c:v>
                </c:pt>
                <c:pt idx="1">
                  <c:v>2013 rok</c:v>
                </c:pt>
                <c:pt idx="2">
                  <c:v>3 kwartały 2014</c:v>
                </c:pt>
              </c:strCache>
            </c:strRef>
          </c:cat>
          <c:val>
            <c:numRef>
              <c:f>'Analiza wskaźnikowa'!$B$26:$D$26</c:f>
              <c:numCache>
                <c:formatCode>0.0%</c:formatCode>
                <c:ptCount val="3"/>
                <c:pt idx="0">
                  <c:v>0.19744043567052416</c:v>
                </c:pt>
                <c:pt idx="1">
                  <c:v>0.17839796663059618</c:v>
                </c:pt>
                <c:pt idx="2">
                  <c:v>0.22209051468670729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68960"/>
        <c:axId val="44570496"/>
      </c:lineChart>
      <c:catAx>
        <c:axId val="4456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pl-PL"/>
          </a:p>
        </c:txPr>
        <c:crossAx val="44570496"/>
        <c:crosses val="autoZero"/>
        <c:auto val="1"/>
        <c:lblAlgn val="ctr"/>
        <c:lblOffset val="100"/>
        <c:noMultiLvlLbl val="0"/>
      </c:catAx>
      <c:valAx>
        <c:axId val="4457049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45689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56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56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56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sheetProtection password="CF5F" content="1" objects="1"/>
  <pageMargins left="0.7" right="0.7" top="0.75" bottom="0.75" header="0.3" footer="0.3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Spin" dx="16" fmlaLink="F7" max="12" min="1" page="10" val="12"/>
</file>

<file path=xl/ctrlProps/ctrlProp10.xml><?xml version="1.0" encoding="utf-8"?>
<formControlPr xmlns="http://schemas.microsoft.com/office/spreadsheetml/2009/9/main" objectType="Spin" dx="16" fmlaLink="E22" max="2" page="10"/>
</file>

<file path=xl/ctrlProps/ctrlProp11.xml><?xml version="1.0" encoding="utf-8"?>
<formControlPr xmlns="http://schemas.microsoft.com/office/spreadsheetml/2009/9/main" objectType="Spin" dx="16" fmlaLink="E23" max="4" page="10" val="2"/>
</file>

<file path=xl/ctrlProps/ctrlProp12.xml><?xml version="1.0" encoding="utf-8"?>
<formControlPr xmlns="http://schemas.microsoft.com/office/spreadsheetml/2009/9/main" objectType="Spin" dx="16" fmlaLink="E24" max="6" page="10" val="2"/>
</file>

<file path=xl/ctrlProps/ctrlProp2.xml><?xml version="1.0" encoding="utf-8"?>
<formControlPr xmlns="http://schemas.microsoft.com/office/spreadsheetml/2009/9/main" objectType="Spin" dx="16" fmlaLink="F8" max="12" min="1" page="10" val="12"/>
</file>

<file path=xl/ctrlProps/ctrlProp3.xml><?xml version="1.0" encoding="utf-8"?>
<formControlPr xmlns="http://schemas.microsoft.com/office/spreadsheetml/2009/9/main" objectType="Spin" dx="16" fmlaLink="F9" max="12" min="1" page="10" val="9"/>
</file>

<file path=xl/ctrlProps/ctrlProp4.xml><?xml version="1.0" encoding="utf-8"?>
<formControlPr xmlns="http://schemas.microsoft.com/office/spreadsheetml/2009/9/main" objectType="Spin" dx="16" fmlaLink="E11" max="6" page="10" val="6"/>
</file>

<file path=xl/ctrlProps/ctrlProp5.xml><?xml version="1.0" encoding="utf-8"?>
<formControlPr xmlns="http://schemas.microsoft.com/office/spreadsheetml/2009/9/main" objectType="Spin" dx="16" fmlaLink="E12" max="6" page="10" val="5"/>
</file>

<file path=xl/ctrlProps/ctrlProp6.xml><?xml version="1.0" encoding="utf-8"?>
<formControlPr xmlns="http://schemas.microsoft.com/office/spreadsheetml/2009/9/main" objectType="Spin" dx="16" fmlaLink="E13" max="4" page="10" val="4"/>
</file>

<file path=xl/ctrlProps/ctrlProp7.xml><?xml version="1.0" encoding="utf-8"?>
<formControlPr xmlns="http://schemas.microsoft.com/office/spreadsheetml/2009/9/main" objectType="Spin" dx="16" fmlaLink="E14" max="4" page="10" val="3"/>
</file>

<file path=xl/ctrlProps/ctrlProp8.xml><?xml version="1.0" encoding="utf-8"?>
<formControlPr xmlns="http://schemas.microsoft.com/office/spreadsheetml/2009/9/main" objectType="Spin" dx="16" fmlaLink="E20" max="6" page="10" val="6"/>
</file>

<file path=xl/ctrlProps/ctrlProp9.xml><?xml version="1.0" encoding="utf-8"?>
<formControlPr xmlns="http://schemas.microsoft.com/office/spreadsheetml/2009/9/main" objectType="Spin" dx="16" fmlaLink="E21" max="2" page="10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171450</xdr:colOff>
          <xdr:row>6</xdr:row>
          <xdr:rowOff>19050</xdr:rowOff>
        </xdr:from>
        <xdr:to>
          <xdr:col>4</xdr:col>
          <xdr:colOff>495300</xdr:colOff>
          <xdr:row>6</xdr:row>
          <xdr:rowOff>361950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171450</xdr:colOff>
          <xdr:row>7</xdr:row>
          <xdr:rowOff>19050</xdr:rowOff>
        </xdr:from>
        <xdr:to>
          <xdr:col>4</xdr:col>
          <xdr:colOff>495300</xdr:colOff>
          <xdr:row>7</xdr:row>
          <xdr:rowOff>361950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171450</xdr:colOff>
          <xdr:row>8</xdr:row>
          <xdr:rowOff>19050</xdr:rowOff>
        </xdr:from>
        <xdr:to>
          <xdr:col>4</xdr:col>
          <xdr:colOff>495300</xdr:colOff>
          <xdr:row>8</xdr:row>
          <xdr:rowOff>361950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10</xdr:row>
          <xdr:rowOff>28575</xdr:rowOff>
        </xdr:from>
        <xdr:to>
          <xdr:col>1</xdr:col>
          <xdr:colOff>400050</xdr:colOff>
          <xdr:row>10</xdr:row>
          <xdr:rowOff>295275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11</xdr:row>
          <xdr:rowOff>28575</xdr:rowOff>
        </xdr:from>
        <xdr:to>
          <xdr:col>1</xdr:col>
          <xdr:colOff>400050</xdr:colOff>
          <xdr:row>11</xdr:row>
          <xdr:rowOff>295275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12</xdr:row>
          <xdr:rowOff>28575</xdr:rowOff>
        </xdr:from>
        <xdr:to>
          <xdr:col>1</xdr:col>
          <xdr:colOff>400050</xdr:colOff>
          <xdr:row>12</xdr:row>
          <xdr:rowOff>295275</xdr:rowOff>
        </xdr:to>
        <xdr:sp macro="" textlink="">
          <xdr:nvSpPr>
            <xdr:cNvPr id="3075" name="Spinne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13</xdr:row>
          <xdr:rowOff>28575</xdr:rowOff>
        </xdr:from>
        <xdr:to>
          <xdr:col>1</xdr:col>
          <xdr:colOff>400050</xdr:colOff>
          <xdr:row>13</xdr:row>
          <xdr:rowOff>295275</xdr:rowOff>
        </xdr:to>
        <xdr:sp macro="" textlink="">
          <xdr:nvSpPr>
            <xdr:cNvPr id="3076" name="Spinne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19</xdr:row>
          <xdr:rowOff>28575</xdr:rowOff>
        </xdr:from>
        <xdr:to>
          <xdr:col>1</xdr:col>
          <xdr:colOff>400050</xdr:colOff>
          <xdr:row>19</xdr:row>
          <xdr:rowOff>295275</xdr:rowOff>
        </xdr:to>
        <xdr:sp macro="" textlink="">
          <xdr:nvSpPr>
            <xdr:cNvPr id="3077" name="Spinner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20</xdr:row>
          <xdr:rowOff>28575</xdr:rowOff>
        </xdr:from>
        <xdr:to>
          <xdr:col>1</xdr:col>
          <xdr:colOff>400050</xdr:colOff>
          <xdr:row>20</xdr:row>
          <xdr:rowOff>295275</xdr:rowOff>
        </xdr:to>
        <xdr:sp macro="" textlink="">
          <xdr:nvSpPr>
            <xdr:cNvPr id="3078" name="Spinner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21</xdr:row>
          <xdr:rowOff>28575</xdr:rowOff>
        </xdr:from>
        <xdr:to>
          <xdr:col>1</xdr:col>
          <xdr:colOff>400050</xdr:colOff>
          <xdr:row>21</xdr:row>
          <xdr:rowOff>295275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22</xdr:row>
          <xdr:rowOff>28575</xdr:rowOff>
        </xdr:from>
        <xdr:to>
          <xdr:col>1</xdr:col>
          <xdr:colOff>400050</xdr:colOff>
          <xdr:row>22</xdr:row>
          <xdr:rowOff>295275</xdr:rowOff>
        </xdr:to>
        <xdr:sp macro="" textlink="">
          <xdr:nvSpPr>
            <xdr:cNvPr id="3080" name="Spinner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28575</xdr:rowOff>
        </xdr:from>
        <xdr:to>
          <xdr:col>1</xdr:col>
          <xdr:colOff>400050</xdr:colOff>
          <xdr:row>23</xdr:row>
          <xdr:rowOff>295275</xdr:rowOff>
        </xdr:to>
        <xdr:sp macro="" textlink="">
          <xdr:nvSpPr>
            <xdr:cNvPr id="3081" name="Spinner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3"/>
  <sheetViews>
    <sheetView showGridLines="0" showRowColHeaders="0" workbookViewId="0">
      <selection activeCell="B12" sqref="B12"/>
    </sheetView>
  </sheetViews>
  <sheetFormatPr defaultRowHeight="25.5"/>
  <cols>
    <col min="1" max="1" width="4.125" style="75" customWidth="1"/>
    <col min="2" max="2" width="68.25" style="75" bestFit="1" customWidth="1"/>
    <col min="3" max="16384" width="9" style="75"/>
  </cols>
  <sheetData>
    <row r="2" spans="2:2">
      <c r="B2" s="75" t="s">
        <v>0</v>
      </c>
    </row>
    <row r="3" spans="2:2">
      <c r="B3" s="75" t="s">
        <v>130</v>
      </c>
    </row>
    <row r="4" spans="2:2">
      <c r="B4" s="75" t="s">
        <v>131</v>
      </c>
    </row>
    <row r="6" spans="2:2" ht="26.25">
      <c r="B6" s="77" t="s">
        <v>128</v>
      </c>
    </row>
    <row r="8" spans="2:2" ht="26.25" thickBot="1">
      <c r="B8" s="76" t="s">
        <v>129</v>
      </c>
    </row>
    <row r="9" spans="2:2" ht="26.25" thickBot="1">
      <c r="B9" s="78" t="s">
        <v>124</v>
      </c>
    </row>
    <row r="10" spans="2:2" ht="26.25" thickBot="1">
      <c r="B10" s="79" t="s">
        <v>127</v>
      </c>
    </row>
    <row r="11" spans="2:2" ht="26.25" thickBot="1">
      <c r="B11" s="80" t="s">
        <v>26</v>
      </c>
    </row>
    <row r="12" spans="2:2" ht="26.25" thickBot="1">
      <c r="B12" s="79" t="s">
        <v>126</v>
      </c>
    </row>
    <row r="13" spans="2:2" ht="26.25" thickBot="1">
      <c r="B13" s="81" t="s">
        <v>125</v>
      </c>
    </row>
  </sheetData>
  <sheetProtection password="CF5F" sheet="1" objects="1" scenarios="1" selectLockedCells="1"/>
  <hyperlinks>
    <hyperlink ref="B9" location="Baza!A1" display="Baza"/>
    <hyperlink ref="B10" location="Dane!A1" display="Dane do analizy"/>
    <hyperlink ref="B11" location="'Analiza wskaźnikowa'!A1" display="Analiza wskaźnikowa"/>
    <hyperlink ref="B12" location="Ocena!A1" display="Ocena - Rating"/>
    <hyperlink ref="B13" location="'Suplement CF'!A1" display="Suplement - Rachunek przepływów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  <pageSetUpPr fitToPage="1"/>
  </sheetPr>
  <dimension ref="A1:F11"/>
  <sheetViews>
    <sheetView showGridLines="0" showRowColHeaders="0" workbookViewId="0">
      <selection activeCell="B5" sqref="B5"/>
    </sheetView>
  </sheetViews>
  <sheetFormatPr defaultRowHeight="30" customHeight="1"/>
  <cols>
    <col min="1" max="1" width="12.625" style="2" customWidth="1"/>
    <col min="2" max="2" width="40" style="2" customWidth="1"/>
    <col min="3" max="3" width="9" style="45"/>
    <col min="4" max="4" width="9" style="2"/>
    <col min="5" max="5" width="9" style="2" customWidth="1"/>
    <col min="6" max="6" width="9" style="44" hidden="1" customWidth="1"/>
    <col min="7" max="16384" width="9" style="2"/>
  </cols>
  <sheetData>
    <row r="1" spans="1:6" ht="18.75" thickBot="1">
      <c r="B1" s="83" t="s">
        <v>132</v>
      </c>
    </row>
    <row r="2" spans="1:6" ht="18">
      <c r="A2" s="45"/>
      <c r="B2" s="45"/>
    </row>
    <row r="3" spans="1:6" ht="30" customHeight="1">
      <c r="A3" s="1" t="s">
        <v>0</v>
      </c>
    </row>
    <row r="4" spans="1:6" ht="30" customHeight="1" thickBot="1">
      <c r="C4" s="82"/>
    </row>
    <row r="5" spans="1:6" ht="30" customHeight="1" thickBot="1">
      <c r="A5" s="2" t="s">
        <v>1</v>
      </c>
      <c r="B5" s="40" t="s">
        <v>137</v>
      </c>
    </row>
    <row r="6" spans="1:6" ht="30" customHeight="1" thickBot="1"/>
    <row r="7" spans="1:6" ht="30" customHeight="1">
      <c r="A7" s="2" t="s">
        <v>2</v>
      </c>
      <c r="B7" s="41" t="s">
        <v>133</v>
      </c>
      <c r="C7" s="45">
        <f>F7</f>
        <v>12</v>
      </c>
      <c r="D7" s="2" t="s">
        <v>3</v>
      </c>
      <c r="E7" s="3"/>
      <c r="F7" s="44">
        <v>12</v>
      </c>
    </row>
    <row r="8" spans="1:6" ht="30" customHeight="1">
      <c r="B8" s="42" t="s">
        <v>134</v>
      </c>
      <c r="C8" s="45">
        <f t="shared" ref="C8:C9" si="0">F8</f>
        <v>12</v>
      </c>
      <c r="D8" s="2" t="s">
        <v>3</v>
      </c>
      <c r="E8" s="4"/>
      <c r="F8" s="44">
        <v>12</v>
      </c>
    </row>
    <row r="9" spans="1:6" ht="30" customHeight="1" thickBot="1">
      <c r="B9" s="43" t="s">
        <v>136</v>
      </c>
      <c r="C9" s="45">
        <f t="shared" si="0"/>
        <v>9</v>
      </c>
      <c r="D9" s="2" t="s">
        <v>3</v>
      </c>
      <c r="E9" s="5"/>
      <c r="F9" s="44">
        <v>9</v>
      </c>
    </row>
    <row r="10" spans="1:6" ht="30" customHeight="1" thickBot="1"/>
    <row r="11" spans="1:6" ht="30" customHeight="1" thickBot="1">
      <c r="A11" s="2" t="s">
        <v>4</v>
      </c>
      <c r="B11" s="40" t="s">
        <v>135</v>
      </c>
    </row>
  </sheetData>
  <sheetProtection password="CF5F" sheet="1" objects="1" scenarios="1" selectLockedCells="1"/>
  <hyperlinks>
    <hyperlink ref="B1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171450</xdr:colOff>
                    <xdr:row>6</xdr:row>
                    <xdr:rowOff>19050</xdr:rowOff>
                  </from>
                  <to>
                    <xdr:col>4</xdr:col>
                    <xdr:colOff>495300</xdr:colOff>
                    <xdr:row>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4</xdr:col>
                    <xdr:colOff>171450</xdr:colOff>
                    <xdr:row>7</xdr:row>
                    <xdr:rowOff>19050</xdr:rowOff>
                  </from>
                  <to>
                    <xdr:col>4</xdr:col>
                    <xdr:colOff>495300</xdr:colOff>
                    <xdr:row>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pinner 3">
              <controlPr defaultSize="0" autoPict="0">
                <anchor moveWithCells="1" sizeWithCells="1">
                  <from>
                    <xdr:col>4</xdr:col>
                    <xdr:colOff>171450</xdr:colOff>
                    <xdr:row>8</xdr:row>
                    <xdr:rowOff>19050</xdr:rowOff>
                  </from>
                  <to>
                    <xdr:col>4</xdr:col>
                    <xdr:colOff>495300</xdr:colOff>
                    <xdr:row>8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38"/>
  <sheetViews>
    <sheetView showGridLines="0" showRowColHeaders="0" topLeftCell="A16" zoomScaleNormal="100" workbookViewId="0"/>
  </sheetViews>
  <sheetFormatPr defaultRowHeight="14.25"/>
  <cols>
    <col min="1" max="1" width="26.25" style="7" customWidth="1"/>
    <col min="2" max="4" width="12.625" style="7" customWidth="1"/>
    <col min="5" max="5" width="3.625" style="7" customWidth="1"/>
    <col min="6" max="6" width="12.625" style="68" customWidth="1"/>
    <col min="7" max="16384" width="9" style="7"/>
  </cols>
  <sheetData>
    <row r="1" spans="1:6" ht="15" thickBot="1">
      <c r="A1" s="85" t="s">
        <v>132</v>
      </c>
    </row>
    <row r="3" spans="1:6" s="6" customFormat="1" ht="15">
      <c r="A3" s="6" t="str">
        <f>Baza!A3</f>
        <v>Arkusz analizy finansowej przedsiębiorstwa</v>
      </c>
      <c r="F3" s="67"/>
    </row>
    <row r="4" spans="1:6" s="6" customFormat="1" ht="15">
      <c r="A4" s="6" t="str">
        <f>Baza!B5</f>
        <v>Zakłady Automatyki POLNA SA</v>
      </c>
      <c r="F4" s="67"/>
    </row>
    <row r="5" spans="1:6" s="6" customFormat="1" ht="15">
      <c r="F5" s="67"/>
    </row>
    <row r="6" spans="1:6" s="6" customFormat="1" ht="15">
      <c r="A6" s="6" t="s">
        <v>5</v>
      </c>
      <c r="F6" s="67"/>
    </row>
    <row r="8" spans="1:6">
      <c r="A8" s="7" t="s">
        <v>6</v>
      </c>
    </row>
    <row r="9" spans="1:6" ht="15" thickBot="1">
      <c r="A9" s="8" t="s">
        <v>7</v>
      </c>
      <c r="B9" s="12" t="str">
        <f>Baza!B7</f>
        <v>2012 rok</v>
      </c>
      <c r="C9" s="12" t="str">
        <f>Baza!B8</f>
        <v>2013 rok</v>
      </c>
      <c r="D9" s="12" t="str">
        <f>Baza!B9</f>
        <v>3 kwartały 2014</v>
      </c>
    </row>
    <row r="10" spans="1:6">
      <c r="A10" s="11" t="s">
        <v>8</v>
      </c>
      <c r="B10" s="46">
        <v>34490</v>
      </c>
      <c r="C10" s="47">
        <v>36887</v>
      </c>
      <c r="D10" s="48">
        <v>26785</v>
      </c>
      <c r="F10" s="68" t="str">
        <f>Baza!$B$11</f>
        <v>tys. zł</v>
      </c>
    </row>
    <row r="11" spans="1:6" ht="15" thickBot="1">
      <c r="A11" s="11" t="s">
        <v>9</v>
      </c>
      <c r="B11" s="49">
        <f>23508+454+7678</f>
        <v>31640</v>
      </c>
      <c r="C11" s="50">
        <f>24494+384+8069</f>
        <v>32947</v>
      </c>
      <c r="D11" s="51">
        <f>17126+257+6288</f>
        <v>23671</v>
      </c>
      <c r="F11" s="68" t="str">
        <f>Baza!$B$11</f>
        <v>tys. zł</v>
      </c>
    </row>
    <row r="12" spans="1:6" ht="15" thickBot="1">
      <c r="A12" s="8" t="s">
        <v>10</v>
      </c>
      <c r="B12" s="14"/>
      <c r="C12" s="14"/>
      <c r="D12" s="14"/>
      <c r="F12" s="68" t="str">
        <f>Baza!$B$11</f>
        <v>tys. zł</v>
      </c>
    </row>
    <row r="13" spans="1:6" ht="15" thickBot="1">
      <c r="A13" s="11" t="s">
        <v>11</v>
      </c>
      <c r="B13" s="52">
        <f>85+2336</f>
        <v>2421</v>
      </c>
      <c r="C13" s="53">
        <f>109+2339</f>
        <v>2448</v>
      </c>
      <c r="D13" s="54">
        <f>48+1525</f>
        <v>1573</v>
      </c>
      <c r="F13" s="68" t="str">
        <f>Baza!$B$11</f>
        <v>tys. zł</v>
      </c>
    </row>
    <row r="14" spans="1:6" s="6" customFormat="1" ht="15.75" thickBot="1">
      <c r="A14" s="9" t="s">
        <v>12</v>
      </c>
      <c r="B14" s="15">
        <f>B10-B11</f>
        <v>2850</v>
      </c>
      <c r="C14" s="15">
        <f t="shared" ref="C14:D14" si="0">C10-C11</f>
        <v>3940</v>
      </c>
      <c r="D14" s="15">
        <f t="shared" si="0"/>
        <v>3114</v>
      </c>
      <c r="F14" s="68" t="str">
        <f>Baza!$B$11</f>
        <v>tys. zł</v>
      </c>
    </row>
    <row r="15" spans="1:6" ht="15" thickBot="1">
      <c r="A15" s="11" t="s">
        <v>13</v>
      </c>
      <c r="B15" s="52">
        <v>2928</v>
      </c>
      <c r="C15" s="53">
        <v>3946</v>
      </c>
      <c r="D15" s="54">
        <v>3604</v>
      </c>
      <c r="F15" s="68" t="str">
        <f>Baza!$B$11</f>
        <v>tys. zł</v>
      </c>
    </row>
    <row r="16" spans="1:6" s="6" customFormat="1" ht="15.75" thickBot="1">
      <c r="A16" s="9" t="s">
        <v>14</v>
      </c>
      <c r="B16" s="15">
        <f>B15+B13</f>
        <v>5349</v>
      </c>
      <c r="C16" s="15">
        <f t="shared" ref="C16:D16" si="1">C15+C13</f>
        <v>6394</v>
      </c>
      <c r="D16" s="15">
        <f t="shared" si="1"/>
        <v>5177</v>
      </c>
      <c r="F16" s="68" t="str">
        <f>Baza!$B$11</f>
        <v>tys. zł</v>
      </c>
    </row>
    <row r="17" spans="1:6" ht="15" thickBot="1">
      <c r="A17" s="11" t="s">
        <v>15</v>
      </c>
      <c r="B17" s="52">
        <v>2490</v>
      </c>
      <c r="C17" s="53">
        <v>3109</v>
      </c>
      <c r="D17" s="54">
        <v>3029</v>
      </c>
      <c r="F17" s="68" t="str">
        <f>Baza!$B$11</f>
        <v>tys. zł</v>
      </c>
    </row>
    <row r="18" spans="1:6">
      <c r="A18" s="10"/>
      <c r="B18" s="10"/>
      <c r="C18" s="10"/>
      <c r="D18" s="10"/>
    </row>
    <row r="19" spans="1:6">
      <c r="A19" s="7" t="s">
        <v>16</v>
      </c>
    </row>
    <row r="20" spans="1:6" ht="15" thickBot="1">
      <c r="A20" s="8" t="s">
        <v>7</v>
      </c>
      <c r="B20" s="12" t="str">
        <f>B9</f>
        <v>2012 rok</v>
      </c>
      <c r="C20" s="12" t="str">
        <f t="shared" ref="C20:D20" si="2">C9</f>
        <v>2013 rok</v>
      </c>
      <c r="D20" s="12" t="str">
        <f t="shared" si="2"/>
        <v>3 kwartały 2014</v>
      </c>
    </row>
    <row r="21" spans="1:6" ht="15" thickBot="1">
      <c r="A21" s="11" t="s">
        <v>17</v>
      </c>
      <c r="B21" s="52">
        <v>24945</v>
      </c>
      <c r="C21" s="53">
        <v>23300</v>
      </c>
      <c r="D21" s="54">
        <v>22729</v>
      </c>
      <c r="F21" s="68" t="str">
        <f>Baza!$B$11</f>
        <v>tys. zł</v>
      </c>
    </row>
    <row r="22" spans="1:6" s="6" customFormat="1" ht="15">
      <c r="A22" s="9" t="s">
        <v>18</v>
      </c>
      <c r="B22" s="13">
        <f>SUM(B24:B27)</f>
        <v>11780</v>
      </c>
      <c r="C22" s="13">
        <f t="shared" ref="C22:D22" si="3">SUM(C24:C27)</f>
        <v>16437</v>
      </c>
      <c r="D22" s="13">
        <f t="shared" si="3"/>
        <v>19452</v>
      </c>
      <c r="F22" s="68" t="str">
        <f>Baza!$B$11</f>
        <v>tys. zł</v>
      </c>
    </row>
    <row r="23" spans="1:6" ht="15" thickBot="1">
      <c r="A23" s="8" t="s">
        <v>10</v>
      </c>
      <c r="B23" s="12"/>
      <c r="C23" s="12"/>
      <c r="D23" s="12"/>
    </row>
    <row r="24" spans="1:6">
      <c r="A24" s="11" t="s">
        <v>19</v>
      </c>
      <c r="B24" s="46">
        <v>4679</v>
      </c>
      <c r="C24" s="47">
        <v>3779</v>
      </c>
      <c r="D24" s="48">
        <v>4118</v>
      </c>
      <c r="F24" s="68" t="str">
        <f>Baza!$B$11</f>
        <v>tys. zł</v>
      </c>
    </row>
    <row r="25" spans="1:6">
      <c r="A25" s="11" t="s">
        <v>88</v>
      </c>
      <c r="B25" s="55">
        <v>5150</v>
      </c>
      <c r="C25" s="56">
        <v>5041</v>
      </c>
      <c r="D25" s="57">
        <v>6567</v>
      </c>
      <c r="F25" s="68" t="str">
        <f>Baza!$B$11</f>
        <v>tys. zł</v>
      </c>
    </row>
    <row r="26" spans="1:6">
      <c r="A26" s="11" t="s">
        <v>20</v>
      </c>
      <c r="B26" s="55">
        <v>1817</v>
      </c>
      <c r="C26" s="56">
        <v>7464</v>
      </c>
      <c r="D26" s="57">
        <v>8389</v>
      </c>
      <c r="F26" s="68" t="str">
        <f>Baza!$B$11</f>
        <v>tys. zł</v>
      </c>
    </row>
    <row r="27" spans="1:6" ht="15" thickBot="1">
      <c r="A27" s="11" t="s">
        <v>89</v>
      </c>
      <c r="B27" s="49">
        <f>26+108</f>
        <v>134</v>
      </c>
      <c r="C27" s="50">
        <f>58+95</f>
        <v>153</v>
      </c>
      <c r="D27" s="51">
        <f>27+351</f>
        <v>378</v>
      </c>
      <c r="F27" s="68" t="str">
        <f>Baza!$B$11</f>
        <v>tys. zł</v>
      </c>
    </row>
    <row r="28" spans="1:6" s="6" customFormat="1" ht="15.75" thickBot="1">
      <c r="A28" s="9" t="s">
        <v>24</v>
      </c>
      <c r="B28" s="15">
        <f>SUM(B21:B22)</f>
        <v>36725</v>
      </c>
      <c r="C28" s="15">
        <f t="shared" ref="C28:D28" si="4">SUM(C21:C22)</f>
        <v>39737</v>
      </c>
      <c r="D28" s="15">
        <f t="shared" si="4"/>
        <v>42181</v>
      </c>
      <c r="F28" s="68" t="str">
        <f>Baza!$B$11</f>
        <v>tys. zł</v>
      </c>
    </row>
    <row r="29" spans="1:6" ht="15" thickBot="1">
      <c r="A29" s="11" t="s">
        <v>21</v>
      </c>
      <c r="B29" s="52">
        <v>29474</v>
      </c>
      <c r="C29" s="53">
        <v>32648</v>
      </c>
      <c r="D29" s="54">
        <v>32813</v>
      </c>
      <c r="F29" s="68" t="str">
        <f>Baza!$B$11</f>
        <v>tys. zł</v>
      </c>
    </row>
    <row r="30" spans="1:6" s="6" customFormat="1" ht="15">
      <c r="A30" s="9" t="s">
        <v>22</v>
      </c>
      <c r="B30" s="13">
        <f>SUM(B32:B34)</f>
        <v>7251</v>
      </c>
      <c r="C30" s="13">
        <f t="shared" ref="C30:D30" si="5">SUM(C32:C34)</f>
        <v>7089</v>
      </c>
      <c r="D30" s="13">
        <f t="shared" si="5"/>
        <v>9368</v>
      </c>
      <c r="F30" s="68" t="str">
        <f>Baza!$B$11</f>
        <v>tys. zł</v>
      </c>
    </row>
    <row r="31" spans="1:6" ht="15" thickBot="1">
      <c r="A31" s="8" t="s">
        <v>10</v>
      </c>
      <c r="B31" s="12"/>
      <c r="C31" s="12"/>
      <c r="D31" s="12"/>
    </row>
    <row r="32" spans="1:6">
      <c r="A32" s="11" t="s">
        <v>90</v>
      </c>
      <c r="B32" s="46">
        <f>2618+974+369+503</f>
        <v>4464</v>
      </c>
      <c r="C32" s="47">
        <f>2411+849+461+633+51</f>
        <v>4405</v>
      </c>
      <c r="D32" s="48">
        <f>2327+952+452+619+9</f>
        <v>4359</v>
      </c>
      <c r="F32" s="68" t="str">
        <f>Baza!$B$11</f>
        <v>tys. zł</v>
      </c>
    </row>
    <row r="33" spans="1:6">
      <c r="A33" s="11" t="s">
        <v>91</v>
      </c>
      <c r="B33" s="55">
        <v>123</v>
      </c>
      <c r="C33" s="56">
        <v>92</v>
      </c>
      <c r="D33" s="57">
        <v>240</v>
      </c>
      <c r="F33" s="68" t="str">
        <f>Baza!$B$11</f>
        <v>tys. zł</v>
      </c>
    </row>
    <row r="34" spans="1:6" ht="15" thickBot="1">
      <c r="A34" s="11" t="s">
        <v>92</v>
      </c>
      <c r="B34" s="49">
        <f>2611+26+27</f>
        <v>2664</v>
      </c>
      <c r="C34" s="50">
        <f>2531+30+31</f>
        <v>2592</v>
      </c>
      <c r="D34" s="51">
        <f>4557+135+77</f>
        <v>4769</v>
      </c>
      <c r="F34" s="68" t="str">
        <f>Baza!$B$11</f>
        <v>tys. zł</v>
      </c>
    </row>
    <row r="35" spans="1:6" s="6" customFormat="1" ht="15">
      <c r="A35" s="9" t="s">
        <v>23</v>
      </c>
      <c r="B35" s="13">
        <f>SUM(B29:B30)</f>
        <v>36725</v>
      </c>
      <c r="C35" s="13">
        <f t="shared" ref="C35:D35" si="6">SUM(C29:C30)</f>
        <v>39737</v>
      </c>
      <c r="D35" s="13">
        <f t="shared" si="6"/>
        <v>42181</v>
      </c>
      <c r="F35" s="68" t="str">
        <f>Baza!$B$11</f>
        <v>tys. zł</v>
      </c>
    </row>
    <row r="37" spans="1:6" s="6" customFormat="1" ht="15">
      <c r="A37" s="6" t="s">
        <v>25</v>
      </c>
      <c r="B37" s="16" t="str">
        <f>IF(B28=B35,"poprawnie","BŁĄD!")</f>
        <v>poprawnie</v>
      </c>
      <c r="C37" s="16" t="str">
        <f t="shared" ref="C37:D37" si="7">IF(C28=C35,"poprawnie","BŁĄD!")</f>
        <v>poprawnie</v>
      </c>
      <c r="D37" s="16" t="str">
        <f t="shared" si="7"/>
        <v>poprawnie</v>
      </c>
      <c r="F37" s="67"/>
    </row>
    <row r="38" spans="1:6">
      <c r="A38" s="7" t="str">
        <f>IF(SUM(B28:D28)=SUM(B35:D35)," ","Wartość błędu")</f>
        <v xml:space="preserve"> </v>
      </c>
      <c r="B38" s="17" t="str">
        <f>IF(B37="BŁĄD!",B28-B35," ")</f>
        <v xml:space="preserve"> </v>
      </c>
      <c r="C38" s="17" t="str">
        <f t="shared" ref="C38:D38" si="8">IF(C37="BŁĄD!",C28-C35," ")</f>
        <v xml:space="preserve"> </v>
      </c>
      <c r="D38" s="17" t="str">
        <f t="shared" si="8"/>
        <v xml:space="preserve"> </v>
      </c>
    </row>
  </sheetData>
  <sheetProtection password="CF5F" sheet="1" objects="1" scenarios="1" selectLockedCells="1"/>
  <hyperlinks>
    <hyperlink ref="A1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44"/>
  <sheetViews>
    <sheetView showGridLines="0" showRowColHeaders="0" workbookViewId="0"/>
  </sheetViews>
  <sheetFormatPr defaultRowHeight="14.25"/>
  <cols>
    <col min="1" max="1" width="32.625" style="19" customWidth="1"/>
    <col min="2" max="4" width="11.625" style="63" customWidth="1"/>
    <col min="5" max="5" width="3.625" style="19" customWidth="1"/>
    <col min="6" max="6" width="24.25" style="58" bestFit="1" customWidth="1"/>
    <col min="7" max="7" width="21.625" style="19" customWidth="1"/>
    <col min="8" max="16384" width="9" style="19"/>
  </cols>
  <sheetData>
    <row r="1" spans="1:7" ht="15" thickBot="1">
      <c r="A1" s="86" t="s">
        <v>132</v>
      </c>
    </row>
    <row r="3" spans="1:7" s="18" customFormat="1" ht="15">
      <c r="A3" s="18" t="str">
        <f>Baza!A3</f>
        <v>Arkusz analizy finansowej przedsiębiorstwa</v>
      </c>
      <c r="B3" s="62"/>
      <c r="C3" s="62"/>
      <c r="D3" s="62"/>
      <c r="F3" s="74"/>
    </row>
    <row r="4" spans="1:7" s="18" customFormat="1" ht="15">
      <c r="A4" s="18" t="str">
        <f>Baza!B5</f>
        <v>Zakłady Automatyki POLNA SA</v>
      </c>
      <c r="B4" s="62"/>
      <c r="C4" s="62"/>
      <c r="D4" s="62"/>
      <c r="F4" s="74"/>
    </row>
    <row r="6" spans="1:7" s="18" customFormat="1" ht="15">
      <c r="A6" s="18" t="s">
        <v>26</v>
      </c>
      <c r="B6" s="62"/>
      <c r="C6" s="62"/>
      <c r="D6" s="62"/>
      <c r="F6" s="74"/>
    </row>
    <row r="8" spans="1:7">
      <c r="A8" s="19" t="s">
        <v>27</v>
      </c>
    </row>
    <row r="9" spans="1:7">
      <c r="A9" s="20" t="s">
        <v>7</v>
      </c>
      <c r="B9" s="64" t="str">
        <f>Baza!B7</f>
        <v>2012 rok</v>
      </c>
      <c r="C9" s="64" t="str">
        <f>Baza!B8</f>
        <v>2013 rok</v>
      </c>
      <c r="D9" s="64" t="str">
        <f>Baza!B9</f>
        <v>3 kwartały 2014</v>
      </c>
      <c r="E9" s="59"/>
      <c r="G9" s="19" t="s">
        <v>34</v>
      </c>
    </row>
    <row r="10" spans="1:7">
      <c r="A10" s="20" t="s">
        <v>28</v>
      </c>
      <c r="B10" s="65">
        <f>IF(Dane!B10=0," ",Dane!B14/Dane!B10)</f>
        <v>8.2632647144099736E-2</v>
      </c>
      <c r="C10" s="65">
        <f>IF(Dane!C10=0," ",Dane!C14/Dane!C10)</f>
        <v>0.10681269824057256</v>
      </c>
      <c r="D10" s="65">
        <f>IF(Dane!D10=0," ",Dane!D14/Dane!D10)</f>
        <v>0.11625910024267314</v>
      </c>
      <c r="E10" s="60"/>
      <c r="G10" s="19" t="s">
        <v>35</v>
      </c>
    </row>
    <row r="11" spans="1:7">
      <c r="A11" s="20" t="s">
        <v>29</v>
      </c>
      <c r="B11" s="65">
        <f>IF(Dane!B10=0," ",Dane!B15/Dane!B10)</f>
        <v>8.4894172223832998E-2</v>
      </c>
      <c r="C11" s="65">
        <f>IF(Dane!C10=0," ",Dane!C15/Dane!C10)</f>
        <v>0.10697535717190339</v>
      </c>
      <c r="D11" s="65">
        <f>IF(Dane!D10=0," ",Dane!D15/Dane!D10)</f>
        <v>0.13455292141123762</v>
      </c>
      <c r="E11" s="60"/>
      <c r="G11" s="19" t="s">
        <v>35</v>
      </c>
    </row>
    <row r="12" spans="1:7">
      <c r="A12" s="20" t="s">
        <v>30</v>
      </c>
      <c r="B12" s="65">
        <f>IF(Dane!B10=0," ",Dane!B17/Dane!B10)</f>
        <v>7.21948390837924E-2</v>
      </c>
      <c r="C12" s="65">
        <f>IF(Dane!C10=0," ",Dane!C17/Dane!C10)</f>
        <v>8.4284436251253828E-2</v>
      </c>
      <c r="D12" s="65">
        <f>IF(Dane!D10=0," ",Dane!D17/Dane!D10)</f>
        <v>0.11308568228486093</v>
      </c>
      <c r="E12" s="60"/>
      <c r="G12" s="19" t="s">
        <v>36</v>
      </c>
    </row>
    <row r="13" spans="1:7">
      <c r="A13" s="20" t="s">
        <v>31</v>
      </c>
      <c r="B13" s="65">
        <f>IF(Dane!B29=0," ",Dane!B17*12/Baza!F7/Dane!B29)</f>
        <v>8.4481237701024628E-2</v>
      </c>
      <c r="C13" s="65">
        <f>IF(Dane!C29=0," ",Dane!C17*12/Baza!F8/Dane!C29)</f>
        <v>9.5227885322224939E-2</v>
      </c>
      <c r="D13" s="65">
        <f>IF(Dane!D29=0," ",Dane!D17*12/Baza!F9/Dane!D29)</f>
        <v>0.12308129907861722</v>
      </c>
      <c r="E13" s="60"/>
      <c r="F13" s="58" t="s">
        <v>33</v>
      </c>
      <c r="G13" s="19" t="s">
        <v>37</v>
      </c>
    </row>
    <row r="14" spans="1:7">
      <c r="A14" s="20" t="s">
        <v>32</v>
      </c>
      <c r="B14" s="65">
        <f>IF(Dane!B28=0," ",Dane!B17*12/Baza!F7/Dane!B28)</f>
        <v>6.7801225323349215E-2</v>
      </c>
      <c r="C14" s="65">
        <f>IF(Dane!C28=0," ",Dane!C17*12/Baza!F8/Dane!C28)</f>
        <v>7.8239424214208417E-2</v>
      </c>
      <c r="D14" s="65">
        <f>IF(Dane!D28=0," ",Dane!D17*12/Baza!F9/Dane!D28)</f>
        <v>9.5746110017938563E-2</v>
      </c>
      <c r="E14" s="60"/>
      <c r="F14" s="58" t="s">
        <v>33</v>
      </c>
      <c r="G14" s="19" t="s">
        <v>38</v>
      </c>
    </row>
    <row r="16" spans="1:7" s="18" customFormat="1" ht="15">
      <c r="A16" s="21" t="s">
        <v>39</v>
      </c>
      <c r="B16" s="62"/>
      <c r="C16" s="62"/>
      <c r="D16" s="62"/>
      <c r="F16" s="74"/>
    </row>
    <row r="17" spans="1:7">
      <c r="A17" s="20" t="str">
        <f>A9</f>
        <v>Tytuł/okres</v>
      </c>
      <c r="B17" s="64" t="str">
        <f t="shared" ref="B17:D17" si="0">B9</f>
        <v>2012 rok</v>
      </c>
      <c r="C17" s="64" t="str">
        <f t="shared" si="0"/>
        <v>2013 rok</v>
      </c>
      <c r="D17" s="64" t="str">
        <f t="shared" si="0"/>
        <v>3 kwartały 2014</v>
      </c>
      <c r="E17" s="59"/>
      <c r="G17" s="19" t="s">
        <v>34</v>
      </c>
    </row>
    <row r="18" spans="1:7">
      <c r="A18" s="20" t="s">
        <v>40</v>
      </c>
      <c r="B18" s="65">
        <f>IF(Dane!B34=0," ",Dane!B26/Dane!B34)</f>
        <v>0.6820570570570571</v>
      </c>
      <c r="C18" s="65">
        <f>IF(Dane!C34=0," ",Dane!C26/Dane!C34)</f>
        <v>2.8796296296296298</v>
      </c>
      <c r="D18" s="65">
        <f>IF(Dane!D34=0," ",Dane!D26/Dane!D34)</f>
        <v>1.7590689872090586</v>
      </c>
      <c r="E18" s="60"/>
      <c r="G18" s="19" t="s">
        <v>43</v>
      </c>
    </row>
    <row r="19" spans="1:7">
      <c r="A19" s="20" t="s">
        <v>41</v>
      </c>
      <c r="B19" s="65">
        <f>IF(Dane!B34=0," ",(Dane!B26+Dane!B25)/Dane!B34)</f>
        <v>2.6152402402402402</v>
      </c>
      <c r="C19" s="65">
        <f>IF(Dane!C34=0," ",(Dane!C26+Dane!C25)/Dane!C34)</f>
        <v>4.8244598765432096</v>
      </c>
      <c r="D19" s="65">
        <f>IF(Dane!D34=0," ",(Dane!D26+Dane!D25)/Dane!D34)</f>
        <v>3.1360872300272593</v>
      </c>
      <c r="E19" s="60"/>
      <c r="G19" s="19" t="s">
        <v>44</v>
      </c>
    </row>
    <row r="20" spans="1:7">
      <c r="A20" s="20" t="s">
        <v>42</v>
      </c>
      <c r="B20" s="65">
        <f>IF(Dane!B34=0," ",Dane!B22/Dane!B34)</f>
        <v>4.4219219219219221</v>
      </c>
      <c r="C20" s="65">
        <f>IF(Dane!C34=0," ",Dane!C22/Dane!C34)</f>
        <v>6.3414351851851851</v>
      </c>
      <c r="D20" s="65">
        <f>IF(Dane!D34=0," ",Dane!D22/Dane!D34)</f>
        <v>4.0788425246382891</v>
      </c>
      <c r="E20" s="60"/>
      <c r="G20" s="19" t="s">
        <v>45</v>
      </c>
    </row>
    <row r="22" spans="1:7">
      <c r="A22" s="19" t="s">
        <v>46</v>
      </c>
    </row>
    <row r="23" spans="1:7">
      <c r="A23" s="20" t="str">
        <f>A17</f>
        <v>Tytuł/okres</v>
      </c>
      <c r="B23" s="64" t="str">
        <f t="shared" ref="B23:D23" si="1">B17</f>
        <v>2012 rok</v>
      </c>
      <c r="C23" s="64" t="str">
        <f t="shared" si="1"/>
        <v>2013 rok</v>
      </c>
      <c r="D23" s="64" t="str">
        <f t="shared" si="1"/>
        <v>3 kwartały 2014</v>
      </c>
      <c r="E23" s="59"/>
      <c r="G23" s="19" t="s">
        <v>34</v>
      </c>
    </row>
    <row r="24" spans="1:7">
      <c r="A24" s="20" t="s">
        <v>47</v>
      </c>
      <c r="B24" s="65">
        <f>IF(Dane!B28=0," ",Dane!B33/Dane!B28)</f>
        <v>3.3492171545268889E-3</v>
      </c>
      <c r="C24" s="65">
        <f>IF(Dane!C28=0," ",Dane!C33/Dane!C28)</f>
        <v>2.3152225885195157E-3</v>
      </c>
      <c r="D24" s="65">
        <f>IF(Dane!D28=0," ",Dane!D33/Dane!D28)</f>
        <v>5.6897655342452759E-3</v>
      </c>
      <c r="E24" s="60"/>
      <c r="G24" s="19" t="s">
        <v>50</v>
      </c>
    </row>
    <row r="25" spans="1:7">
      <c r="A25" s="20" t="s">
        <v>48</v>
      </c>
      <c r="B25" s="65">
        <f>IF(Dane!B28=0," ",Dane!B34/Dane!B28)</f>
        <v>7.2539142273655544E-2</v>
      </c>
      <c r="C25" s="65">
        <f>IF(Dane!C28=0," ",Dane!C34/Dane!C28)</f>
        <v>6.5228879885245492E-2</v>
      </c>
      <c r="D25" s="65">
        <f>IF(Dane!D28=0," ",Dane!D34/Dane!D28)</f>
        <v>0.11306038263673218</v>
      </c>
      <c r="E25" s="60"/>
      <c r="G25" s="19" t="s">
        <v>50</v>
      </c>
    </row>
    <row r="26" spans="1:7">
      <c r="A26" s="20" t="s">
        <v>49</v>
      </c>
      <c r="B26" s="65">
        <f>IF(Dane!B28=0," ",Dane!B30/Dane!B28)</f>
        <v>0.19744043567052416</v>
      </c>
      <c r="C26" s="65">
        <f>IF(Dane!C28=0," ",Dane!C30/Dane!C28)</f>
        <v>0.17839796663059618</v>
      </c>
      <c r="D26" s="65">
        <f>IF(Dane!D28=0," ",Dane!D30/Dane!D28)</f>
        <v>0.22209051468670729</v>
      </c>
      <c r="E26" s="60"/>
      <c r="G26" s="19" t="s">
        <v>51</v>
      </c>
    </row>
    <row r="28" spans="1:7">
      <c r="A28" s="19" t="s">
        <v>52</v>
      </c>
    </row>
    <row r="29" spans="1:7">
      <c r="A29" s="20" t="str">
        <f>A23</f>
        <v>Tytuł/okres</v>
      </c>
      <c r="B29" s="64" t="str">
        <f t="shared" ref="B29:D29" si="2">B23</f>
        <v>2012 rok</v>
      </c>
      <c r="C29" s="64" t="str">
        <f t="shared" si="2"/>
        <v>2013 rok</v>
      </c>
      <c r="D29" s="64" t="str">
        <f t="shared" si="2"/>
        <v>3 kwartały 2014</v>
      </c>
      <c r="E29" s="59"/>
      <c r="G29" s="19" t="s">
        <v>34</v>
      </c>
    </row>
    <row r="30" spans="1:7">
      <c r="A30" s="20" t="s">
        <v>53</v>
      </c>
      <c r="B30" s="66">
        <f>IF(Dane!B10=0," ",Dane!B24*365/(Dane!B10*12/Baza!F7))</f>
        <v>49.516816468541606</v>
      </c>
      <c r="C30" s="66">
        <f>IF(Dane!C10=0," ",Dane!C24*365/(Dane!C10*12/Baza!F8))</f>
        <v>37.393526174533037</v>
      </c>
      <c r="D30" s="66">
        <f>IF(Dane!D10=0," ",Dane!D24*365/(Dane!D10*12/Baza!F9))</f>
        <v>42.087082322195258</v>
      </c>
      <c r="E30" s="61"/>
      <c r="F30" s="58" t="s">
        <v>58</v>
      </c>
      <c r="G30" s="19" t="s">
        <v>59</v>
      </c>
    </row>
    <row r="31" spans="1:7">
      <c r="A31" s="20" t="s">
        <v>98</v>
      </c>
      <c r="B31" s="66">
        <f>IF(Dane!B10=0," ",Dane!B25*365/(Dane!B10*12/Baza!F7))</f>
        <v>54.50130472600754</v>
      </c>
      <c r="C31" s="66">
        <f>IF(Dane!C10=0," ",Dane!C25*365/(Dane!C10*12/Baza!F8))</f>
        <v>49.881123431019056</v>
      </c>
      <c r="D31" s="66">
        <f>IF(Dane!D10=0," ",Dane!D25*365/(Dane!D10*12/Baza!F9))</f>
        <v>67.116529774127301</v>
      </c>
      <c r="E31" s="61"/>
      <c r="F31" s="58" t="s">
        <v>58</v>
      </c>
      <c r="G31" s="19" t="s">
        <v>59</v>
      </c>
    </row>
    <row r="32" spans="1:7">
      <c r="A32" s="20" t="s">
        <v>54</v>
      </c>
      <c r="B32" s="66">
        <f>IF(B30=" "," ",B30+B31)</f>
        <v>104.01812119454914</v>
      </c>
      <c r="C32" s="66">
        <f t="shared" ref="C32:D32" si="3">IF(C30=" "," ",C30+C31)</f>
        <v>87.274649605552099</v>
      </c>
      <c r="D32" s="66">
        <f t="shared" si="3"/>
        <v>109.20361209632256</v>
      </c>
      <c r="E32" s="61"/>
      <c r="F32" s="58" t="s">
        <v>58</v>
      </c>
      <c r="G32" s="19" t="s">
        <v>61</v>
      </c>
    </row>
    <row r="33" spans="1:7">
      <c r="A33" s="20" t="s">
        <v>55</v>
      </c>
      <c r="B33" s="66">
        <f>IF(Dane!B10=0," ",Dane!B34*365/(Dane!B10*12/Baza!F7))</f>
        <v>28.192519570890113</v>
      </c>
      <c r="C33" s="66">
        <f>IF(Dane!C10=0," ",Dane!C34*365/(Dane!C10*12/Baza!F8))</f>
        <v>25.64806029224388</v>
      </c>
      <c r="D33" s="66">
        <f>IF(Dane!D10=0," ",Dane!D34*365/(Dane!D10*12/Baza!F9))</f>
        <v>48.74047974612656</v>
      </c>
      <c r="E33" s="61"/>
      <c r="F33" s="58" t="s">
        <v>58</v>
      </c>
      <c r="G33" s="19" t="s">
        <v>60</v>
      </c>
    </row>
    <row r="34" spans="1:7">
      <c r="A34" s="20" t="s">
        <v>56</v>
      </c>
      <c r="B34" s="66">
        <f>IF(B33=" "," ",B32-B33)</f>
        <v>75.825601623659026</v>
      </c>
      <c r="C34" s="66">
        <f t="shared" ref="C34:D34" si="4">IF(C33=" "," ",C32-C33)</f>
        <v>61.626589313308216</v>
      </c>
      <c r="D34" s="66">
        <f t="shared" si="4"/>
        <v>60.463132350195998</v>
      </c>
      <c r="E34" s="61"/>
      <c r="F34" s="58" t="s">
        <v>58</v>
      </c>
      <c r="G34" s="19" t="s">
        <v>61</v>
      </c>
    </row>
    <row r="35" spans="1:7">
      <c r="A35" s="20" t="s">
        <v>57</v>
      </c>
      <c r="B35" s="66">
        <f>IF(B34=" "," ",B34*Dane!B10*12/Baza!F7/365)</f>
        <v>7165</v>
      </c>
      <c r="C35" s="66">
        <f>IF(C34=" "," ",C34*Dane!C10*12/Baza!F8/365)</f>
        <v>6228</v>
      </c>
      <c r="D35" s="66">
        <f>IF(D34=" "," ",D34*Dane!D10*12/Baza!F9/365)</f>
        <v>5915.9999999999991</v>
      </c>
      <c r="E35" s="61"/>
      <c r="F35" s="58" t="str">
        <f>Baza!B11</f>
        <v>tys. zł</v>
      </c>
      <c r="G35" s="19" t="s">
        <v>62</v>
      </c>
    </row>
    <row r="36" spans="1:7">
      <c r="B36" s="17"/>
      <c r="C36" s="17"/>
      <c r="D36" s="17"/>
      <c r="E36" s="7"/>
    </row>
    <row r="37" spans="1:7">
      <c r="A37" s="19" t="s">
        <v>63</v>
      </c>
    </row>
    <row r="38" spans="1:7">
      <c r="A38" s="20" t="str">
        <f>A29</f>
        <v>Tytuł/okres</v>
      </c>
      <c r="B38" s="64" t="str">
        <f t="shared" ref="B38:D38" si="5">B29</f>
        <v>2012 rok</v>
      </c>
      <c r="C38" s="64" t="str">
        <f t="shared" si="5"/>
        <v>2013 rok</v>
      </c>
      <c r="D38" s="64" t="str">
        <f t="shared" si="5"/>
        <v>3 kwartały 2014</v>
      </c>
      <c r="E38" s="59"/>
      <c r="G38" s="19" t="s">
        <v>34</v>
      </c>
    </row>
    <row r="39" spans="1:7">
      <c r="A39" s="20" t="s">
        <v>64</v>
      </c>
      <c r="B39" s="66">
        <f>Dane!B10*12/Baza!F7</f>
        <v>34490</v>
      </c>
      <c r="C39" s="66">
        <f>Dane!C10*12/Baza!F8</f>
        <v>36887</v>
      </c>
      <c r="D39" s="66">
        <f>Dane!D10*12/Baza!F9</f>
        <v>35713.333333333336</v>
      </c>
      <c r="E39" s="61"/>
      <c r="F39" s="58" t="str">
        <f>Baza!B11</f>
        <v>tys. zł</v>
      </c>
    </row>
    <row r="40" spans="1:7">
      <c r="A40" s="20" t="s">
        <v>66</v>
      </c>
      <c r="B40" s="22" t="s">
        <v>68</v>
      </c>
      <c r="C40" s="65">
        <f>IF(B39=0," ",C39/B39)</f>
        <v>1.0694984053348797</v>
      </c>
      <c r="D40" s="65">
        <f>IF(C39=0," ",D39/C39)</f>
        <v>0.96818210571023222</v>
      </c>
      <c r="E40" s="60"/>
      <c r="F40" s="58" t="s">
        <v>65</v>
      </c>
    </row>
    <row r="41" spans="1:7">
      <c r="A41" s="20" t="s">
        <v>67</v>
      </c>
      <c r="B41" s="22" t="s">
        <v>68</v>
      </c>
      <c r="C41" s="65">
        <f>IF(B39=0," ",C40-1)</f>
        <v>6.949840533487972E-2</v>
      </c>
      <c r="D41" s="65">
        <f>IF(C39=0," ",D40-1)</f>
        <v>-3.1817894289767779E-2</v>
      </c>
      <c r="E41" s="60"/>
      <c r="F41" s="58" t="s">
        <v>65</v>
      </c>
      <c r="G41" s="19" t="s">
        <v>69</v>
      </c>
    </row>
    <row r="42" spans="1:7">
      <c r="A42" s="20" t="s">
        <v>70</v>
      </c>
      <c r="B42" s="66">
        <f>Dane!B21</f>
        <v>24945</v>
      </c>
      <c r="C42" s="66">
        <f>Dane!C21</f>
        <v>23300</v>
      </c>
      <c r="D42" s="66">
        <f>Dane!D21</f>
        <v>22729</v>
      </c>
      <c r="E42" s="61"/>
      <c r="F42" s="58" t="str">
        <f>Baza!B11</f>
        <v>tys. zł</v>
      </c>
    </row>
    <row r="43" spans="1:7">
      <c r="A43" s="20" t="s">
        <v>71</v>
      </c>
      <c r="B43" s="22" t="s">
        <v>68</v>
      </c>
      <c r="C43" s="65">
        <f>IF(B42=0," ",C42/B42)</f>
        <v>0.93405492082581676</v>
      </c>
      <c r="D43" s="65">
        <f>IF(C42=0," ",D42/C42)</f>
        <v>0.97549356223175965</v>
      </c>
      <c r="E43" s="60"/>
      <c r="F43" s="58" t="s">
        <v>93</v>
      </c>
    </row>
    <row r="44" spans="1:7">
      <c r="A44" s="20" t="s">
        <v>67</v>
      </c>
      <c r="B44" s="22" t="s">
        <v>68</v>
      </c>
      <c r="C44" s="65">
        <f>IF(B42=0," ",C43-1)</f>
        <v>-6.5945079174183241E-2</v>
      </c>
      <c r="D44" s="65">
        <f>IF(C42=0," ",D43-1)</f>
        <v>-2.4506437768240352E-2</v>
      </c>
      <c r="E44" s="60"/>
      <c r="F44" s="58" t="s">
        <v>93</v>
      </c>
      <c r="G44" s="19" t="s">
        <v>99</v>
      </c>
    </row>
  </sheetData>
  <sheetProtection password="CF5F" sheet="1" objects="1" scenarios="1" selectLockedCells="1"/>
  <hyperlinks>
    <hyperlink ref="A1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37"/>
  <sheetViews>
    <sheetView showGridLines="0" showRowColHeaders="0" tabSelected="1" topLeftCell="A16" workbookViewId="0"/>
  </sheetViews>
  <sheetFormatPr defaultRowHeight="14.25"/>
  <cols>
    <col min="1" max="1" width="47.625" style="19" customWidth="1"/>
    <col min="2" max="2" width="5.75" style="19" customWidth="1"/>
    <col min="3" max="3" width="9.625" style="19" customWidth="1"/>
    <col min="4" max="4" width="9" style="19" customWidth="1"/>
    <col min="5" max="5" width="10.75" style="38" hidden="1" customWidth="1"/>
    <col min="6" max="16384" width="9" style="19"/>
  </cols>
  <sheetData>
    <row r="1" spans="1:5" ht="15" thickBot="1">
      <c r="A1" s="86" t="s">
        <v>132</v>
      </c>
    </row>
    <row r="3" spans="1:5" s="18" customFormat="1" ht="15">
      <c r="A3" s="18" t="str">
        <f>Baza!A3</f>
        <v>Arkusz analizy finansowej przedsiębiorstwa</v>
      </c>
      <c r="E3" s="37"/>
    </row>
    <row r="4" spans="1:5" s="18" customFormat="1" ht="15">
      <c r="A4" s="18" t="str">
        <f>Baza!B5</f>
        <v>Zakłady Automatyki POLNA SA</v>
      </c>
      <c r="E4" s="37"/>
    </row>
    <row r="6" spans="1:5" s="18" customFormat="1" ht="15">
      <c r="A6" s="18" t="s">
        <v>72</v>
      </c>
      <c r="E6" s="37"/>
    </row>
    <row r="7" spans="1:5">
      <c r="A7" s="19" t="s">
        <v>73</v>
      </c>
    </row>
    <row r="9" spans="1:5">
      <c r="A9" s="19" t="s">
        <v>74</v>
      </c>
    </row>
    <row r="10" spans="1:5" ht="15" thickBot="1">
      <c r="A10" s="20" t="s">
        <v>75</v>
      </c>
      <c r="B10" s="89" t="s">
        <v>76</v>
      </c>
      <c r="C10" s="89"/>
      <c r="D10" s="20" t="s">
        <v>77</v>
      </c>
    </row>
    <row r="11" spans="1:5" ht="24" customHeight="1">
      <c r="A11" s="25" t="str">
        <f>'Analiza wskaźnikowa'!A8</f>
        <v>Wskaźniki rentowności</v>
      </c>
      <c r="B11" s="28"/>
      <c r="C11" s="31">
        <f>E11/2</f>
        <v>3</v>
      </c>
      <c r="D11" s="26" t="s">
        <v>78</v>
      </c>
      <c r="E11" s="39">
        <v>6</v>
      </c>
    </row>
    <row r="12" spans="1:5" ht="24" customHeight="1">
      <c r="A12" s="25" t="str">
        <f>'Analiza wskaźnikowa'!A16</f>
        <v>Wskaźniki płynności</v>
      </c>
      <c r="B12" s="29"/>
      <c r="C12" s="31">
        <f t="shared" ref="C12:C14" si="0">E12/2</f>
        <v>2.5</v>
      </c>
      <c r="D12" s="26" t="s">
        <v>78</v>
      </c>
      <c r="E12" s="39">
        <v>5</v>
      </c>
    </row>
    <row r="13" spans="1:5" ht="24" customHeight="1">
      <c r="A13" s="25" t="str">
        <f>'Analiza wskaźnikowa'!A22</f>
        <v>Wskaźniki zadłużenia</v>
      </c>
      <c r="B13" s="29"/>
      <c r="C13" s="31">
        <f t="shared" si="0"/>
        <v>2</v>
      </c>
      <c r="D13" s="26" t="s">
        <v>79</v>
      </c>
      <c r="E13" s="39">
        <v>4</v>
      </c>
    </row>
    <row r="14" spans="1:5" ht="24" customHeight="1" thickBot="1">
      <c r="A14" s="25" t="str">
        <f>'Analiza wskaźnikowa'!A28</f>
        <v>Cykle obrotu i zapotrzebowanie na kapitał obrotowy</v>
      </c>
      <c r="B14" s="30"/>
      <c r="C14" s="31">
        <f t="shared" si="0"/>
        <v>1.5</v>
      </c>
      <c r="D14" s="26" t="s">
        <v>79</v>
      </c>
      <c r="E14" s="39">
        <v>3</v>
      </c>
    </row>
    <row r="15" spans="1:5" ht="24" customHeight="1">
      <c r="A15" s="20" t="str">
        <f>'Analiza wskaźnikowa'!A37</f>
        <v>Wskaźniki rozwoju przedsiębiorstwa</v>
      </c>
      <c r="B15" s="27"/>
      <c r="C15" s="32"/>
      <c r="D15" s="23" t="s">
        <v>68</v>
      </c>
    </row>
    <row r="16" spans="1:5" s="18" customFormat="1" ht="15">
      <c r="A16" s="24" t="s">
        <v>80</v>
      </c>
      <c r="B16" s="24"/>
      <c r="C16" s="33">
        <f>SUM(C11:C15)</f>
        <v>9</v>
      </c>
      <c r="D16" s="24" t="s">
        <v>81</v>
      </c>
      <c r="E16" s="37"/>
    </row>
    <row r="18" spans="1:5">
      <c r="A18" s="19" t="s">
        <v>82</v>
      </c>
    </row>
    <row r="19" spans="1:5" ht="15" thickBot="1">
      <c r="A19" s="20" t="s">
        <v>75</v>
      </c>
      <c r="B19" s="89" t="s">
        <v>76</v>
      </c>
      <c r="C19" s="89"/>
      <c r="D19" s="20" t="s">
        <v>77</v>
      </c>
    </row>
    <row r="20" spans="1:5" ht="24" customHeight="1">
      <c r="A20" s="25" t="str">
        <f>A11</f>
        <v>Wskaźniki rentowności</v>
      </c>
      <c r="B20" s="28"/>
      <c r="C20" s="34">
        <f>E20/2</f>
        <v>3</v>
      </c>
      <c r="D20" s="26" t="s">
        <v>78</v>
      </c>
      <c r="E20" s="39">
        <v>6</v>
      </c>
    </row>
    <row r="21" spans="1:5" ht="24" customHeight="1">
      <c r="A21" s="25" t="str">
        <f t="shared" ref="A21:A24" si="1">A12</f>
        <v>Wskaźniki płynności</v>
      </c>
      <c r="B21" s="29"/>
      <c r="C21" s="34">
        <f t="shared" ref="C21:C24" si="2">E21/2</f>
        <v>0.5</v>
      </c>
      <c r="D21" s="26" t="s">
        <v>83</v>
      </c>
      <c r="E21" s="39">
        <v>1</v>
      </c>
    </row>
    <row r="22" spans="1:5" ht="24" customHeight="1">
      <c r="A22" s="25" t="str">
        <f t="shared" si="1"/>
        <v>Wskaźniki zadłużenia</v>
      </c>
      <c r="B22" s="29"/>
      <c r="C22" s="34">
        <f t="shared" si="2"/>
        <v>0.5</v>
      </c>
      <c r="D22" s="26" t="s">
        <v>83</v>
      </c>
      <c r="E22" s="39">
        <v>1</v>
      </c>
    </row>
    <row r="23" spans="1:5" ht="24" customHeight="1">
      <c r="A23" s="25" t="str">
        <f t="shared" si="1"/>
        <v>Cykle obrotu i zapotrzebowanie na kapitał obrotowy</v>
      </c>
      <c r="B23" s="29"/>
      <c r="C23" s="34">
        <f t="shared" si="2"/>
        <v>1</v>
      </c>
      <c r="D23" s="26" t="s">
        <v>79</v>
      </c>
      <c r="E23" s="39">
        <v>2</v>
      </c>
    </row>
    <row r="24" spans="1:5" ht="24" customHeight="1" thickBot="1">
      <c r="A24" s="25" t="str">
        <f t="shared" si="1"/>
        <v>Wskaźniki rozwoju przedsiębiorstwa</v>
      </c>
      <c r="B24" s="30"/>
      <c r="C24" s="34">
        <f t="shared" si="2"/>
        <v>1</v>
      </c>
      <c r="D24" s="20" t="s">
        <v>78</v>
      </c>
      <c r="E24" s="38">
        <v>2</v>
      </c>
    </row>
    <row r="25" spans="1:5" s="18" customFormat="1" ht="15">
      <c r="A25" s="24" t="s">
        <v>80</v>
      </c>
      <c r="B25" s="35"/>
      <c r="C25" s="33">
        <f>SUM(C20:C24)</f>
        <v>6</v>
      </c>
      <c r="D25" s="24" t="s">
        <v>81</v>
      </c>
      <c r="E25" s="37"/>
    </row>
    <row r="27" spans="1:5" s="18" customFormat="1" ht="15">
      <c r="A27" s="18" t="s">
        <v>123</v>
      </c>
      <c r="E27" s="37"/>
    </row>
    <row r="28" spans="1:5" s="18" customFormat="1" ht="15">
      <c r="A28" s="24" t="s">
        <v>75</v>
      </c>
      <c r="B28" s="90" t="s">
        <v>76</v>
      </c>
      <c r="C28" s="90"/>
      <c r="D28" s="24" t="s">
        <v>77</v>
      </c>
      <c r="E28" s="37"/>
    </row>
    <row r="29" spans="1:5" s="18" customFormat="1" ht="15">
      <c r="A29" s="71" t="str">
        <f>A20</f>
        <v>Wskaźniki rentowności</v>
      </c>
      <c r="B29" s="24"/>
      <c r="C29" s="72">
        <f>C11+C20</f>
        <v>6</v>
      </c>
      <c r="D29" s="73" t="s">
        <v>85</v>
      </c>
      <c r="E29" s="37"/>
    </row>
    <row r="30" spans="1:5" s="18" customFormat="1" ht="15">
      <c r="A30" s="71" t="str">
        <f t="shared" ref="A30:A33" si="3">A21</f>
        <v>Wskaźniki płynności</v>
      </c>
      <c r="B30" s="35"/>
      <c r="C30" s="72">
        <f t="shared" ref="C30:C33" si="4">C12+C21</f>
        <v>3</v>
      </c>
      <c r="D30" s="73" t="s">
        <v>86</v>
      </c>
      <c r="E30" s="37"/>
    </row>
    <row r="31" spans="1:5" s="18" customFormat="1" ht="15">
      <c r="A31" s="71" t="str">
        <f t="shared" si="3"/>
        <v>Wskaźniki zadłużenia</v>
      </c>
      <c r="B31" s="35"/>
      <c r="C31" s="72">
        <f t="shared" si="4"/>
        <v>2.5</v>
      </c>
      <c r="D31" s="73" t="s">
        <v>78</v>
      </c>
      <c r="E31" s="37"/>
    </row>
    <row r="32" spans="1:5" s="18" customFormat="1" ht="15">
      <c r="A32" s="71" t="str">
        <f t="shared" si="3"/>
        <v>Cykle obrotu i zapotrzebowanie na kapitał obrotowy</v>
      </c>
      <c r="B32" s="35"/>
      <c r="C32" s="72">
        <f t="shared" si="4"/>
        <v>2.5</v>
      </c>
      <c r="D32" s="73" t="s">
        <v>86</v>
      </c>
      <c r="E32" s="37"/>
    </row>
    <row r="33" spans="1:5" s="18" customFormat="1" ht="15">
      <c r="A33" s="71" t="str">
        <f t="shared" si="3"/>
        <v>Wskaźniki rozwoju przedsiębiorstwa</v>
      </c>
      <c r="B33" s="35"/>
      <c r="C33" s="72">
        <f t="shared" si="4"/>
        <v>1</v>
      </c>
      <c r="D33" s="24" t="s">
        <v>78</v>
      </c>
      <c r="E33" s="37"/>
    </row>
    <row r="34" spans="1:5" ht="15">
      <c r="A34" s="24" t="s">
        <v>80</v>
      </c>
      <c r="B34" s="35"/>
      <c r="C34" s="33">
        <f>SUM(C29:C33)</f>
        <v>15</v>
      </c>
      <c r="D34" s="24" t="s">
        <v>87</v>
      </c>
    </row>
    <row r="36" spans="1:5" ht="18">
      <c r="A36" s="1" t="s">
        <v>84</v>
      </c>
    </row>
    <row r="37" spans="1:5" ht="26.25">
      <c r="A37" s="36" t="str">
        <f>IF(C34&lt;8,"krytyczne",IF(C34&lt;12,"wysokie",IF(C34&lt;16,"lekko powyższone","standardowe")))</f>
        <v>lekko powyższone</v>
      </c>
    </row>
  </sheetData>
  <sheetProtection password="CF5F" sheet="1" objects="1" scenarios="1" selectLockedCells="1"/>
  <mergeCells count="3">
    <mergeCell ref="B10:C10"/>
    <mergeCell ref="B19:C19"/>
    <mergeCell ref="B28:C28"/>
  </mergeCells>
  <hyperlinks>
    <hyperlink ref="A1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1</xdr:col>
                    <xdr:colOff>57150</xdr:colOff>
                    <xdr:row>10</xdr:row>
                    <xdr:rowOff>28575</xdr:rowOff>
                  </from>
                  <to>
                    <xdr:col>1</xdr:col>
                    <xdr:colOff>400050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1</xdr:col>
                    <xdr:colOff>57150</xdr:colOff>
                    <xdr:row>11</xdr:row>
                    <xdr:rowOff>28575</xdr:rowOff>
                  </from>
                  <to>
                    <xdr:col>1</xdr:col>
                    <xdr:colOff>400050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Spinner 3">
              <controlPr defaultSize="0" autoPict="0">
                <anchor moveWithCells="1" sizeWithCells="1">
                  <from>
                    <xdr:col>1</xdr:col>
                    <xdr:colOff>57150</xdr:colOff>
                    <xdr:row>12</xdr:row>
                    <xdr:rowOff>28575</xdr:rowOff>
                  </from>
                  <to>
                    <xdr:col>1</xdr:col>
                    <xdr:colOff>400050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Spinner 4">
              <controlPr defaultSize="0" autoPict="0">
                <anchor moveWithCells="1" sizeWithCells="1">
                  <from>
                    <xdr:col>1</xdr:col>
                    <xdr:colOff>57150</xdr:colOff>
                    <xdr:row>13</xdr:row>
                    <xdr:rowOff>28575</xdr:rowOff>
                  </from>
                  <to>
                    <xdr:col>1</xdr:col>
                    <xdr:colOff>400050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Spinner 5">
              <controlPr defaultSize="0" autoPict="0">
                <anchor moveWithCells="1" sizeWithCells="1">
                  <from>
                    <xdr:col>1</xdr:col>
                    <xdr:colOff>57150</xdr:colOff>
                    <xdr:row>19</xdr:row>
                    <xdr:rowOff>28575</xdr:rowOff>
                  </from>
                  <to>
                    <xdr:col>1</xdr:col>
                    <xdr:colOff>400050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Spinner 6">
              <controlPr defaultSize="0" autoPict="0">
                <anchor moveWithCells="1" sizeWithCells="1">
                  <from>
                    <xdr:col>1</xdr:col>
                    <xdr:colOff>57150</xdr:colOff>
                    <xdr:row>20</xdr:row>
                    <xdr:rowOff>28575</xdr:rowOff>
                  </from>
                  <to>
                    <xdr:col>1</xdr:col>
                    <xdr:colOff>400050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Spinner 7">
              <controlPr defaultSize="0" autoPict="0">
                <anchor moveWithCells="1" sizeWithCells="1">
                  <from>
                    <xdr:col>1</xdr:col>
                    <xdr:colOff>57150</xdr:colOff>
                    <xdr:row>21</xdr:row>
                    <xdr:rowOff>28575</xdr:rowOff>
                  </from>
                  <to>
                    <xdr:col>1</xdr:col>
                    <xdr:colOff>400050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Spinner 8">
              <controlPr defaultSize="0" autoPict="0">
                <anchor moveWithCells="1" sizeWithCells="1">
                  <from>
                    <xdr:col>1</xdr:col>
                    <xdr:colOff>57150</xdr:colOff>
                    <xdr:row>22</xdr:row>
                    <xdr:rowOff>28575</xdr:rowOff>
                  </from>
                  <to>
                    <xdr:col>1</xdr:col>
                    <xdr:colOff>400050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Spinner 9">
              <controlPr defaultSize="0" autoPict="0">
                <anchor moveWithCells="1" sizeWithCells="1">
                  <from>
                    <xdr:col>1</xdr:col>
                    <xdr:colOff>57150</xdr:colOff>
                    <xdr:row>23</xdr:row>
                    <xdr:rowOff>28575</xdr:rowOff>
                  </from>
                  <to>
                    <xdr:col>1</xdr:col>
                    <xdr:colOff>400050</xdr:colOff>
                    <xdr:row>23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42"/>
  <sheetViews>
    <sheetView showGridLines="0" showRowColHeaders="0" workbookViewId="0"/>
  </sheetViews>
  <sheetFormatPr defaultRowHeight="14.25"/>
  <cols>
    <col min="1" max="1" width="42.625" style="7" customWidth="1"/>
    <col min="2" max="3" width="10.625" style="7" customWidth="1"/>
    <col min="4" max="4" width="3.625" style="7" customWidth="1"/>
    <col min="5" max="5" width="10.625" style="7" customWidth="1"/>
    <col min="6" max="6" width="3.625" style="7" customWidth="1"/>
    <col min="7" max="7" width="50.625" style="7" customWidth="1"/>
    <col min="8" max="16384" width="9" style="7"/>
  </cols>
  <sheetData>
    <row r="1" spans="1:7" ht="15" thickBot="1">
      <c r="A1" s="84" t="s">
        <v>132</v>
      </c>
      <c r="E1" s="87"/>
    </row>
    <row r="2" spans="1:7">
      <c r="E2" s="87"/>
    </row>
    <row r="3" spans="1:7" s="6" customFormat="1" ht="15">
      <c r="A3" s="6" t="str">
        <f>Baza!A3</f>
        <v>Arkusz analizy finansowej przedsiębiorstwa</v>
      </c>
      <c r="E3" s="88"/>
    </row>
    <row r="4" spans="1:7" s="6" customFormat="1" ht="15">
      <c r="A4" s="6" t="str">
        <f>Baza!B5</f>
        <v>Zakłady Automatyki POLNA SA</v>
      </c>
      <c r="E4" s="88"/>
    </row>
    <row r="5" spans="1:7" s="6" customFormat="1" ht="15">
      <c r="E5" s="88"/>
    </row>
    <row r="6" spans="1:7" s="6" customFormat="1" ht="15">
      <c r="A6" s="6" t="s">
        <v>94</v>
      </c>
      <c r="E6" s="88"/>
    </row>
    <row r="7" spans="1:7">
      <c r="E7" s="87"/>
    </row>
    <row r="8" spans="1:7">
      <c r="A8" s="7" t="s">
        <v>122</v>
      </c>
      <c r="E8" s="87"/>
    </row>
    <row r="9" spans="1:7">
      <c r="A9" s="8" t="s">
        <v>7</v>
      </c>
      <c r="B9" s="70" t="str">
        <f>Baza!B8</f>
        <v>2013 rok</v>
      </c>
      <c r="C9" s="70" t="str">
        <f>Baza!B9</f>
        <v>3 kwartały 2014</v>
      </c>
      <c r="E9" s="87"/>
    </row>
    <row r="10" spans="1:7">
      <c r="A10" s="8" t="s">
        <v>15</v>
      </c>
      <c r="B10" s="8">
        <f>Dane!C17</f>
        <v>3109</v>
      </c>
      <c r="C10" s="8">
        <f>Dane!D17</f>
        <v>3029</v>
      </c>
      <c r="E10" s="87" t="str">
        <f>Baza!$B$11</f>
        <v>tys. zł</v>
      </c>
    </row>
    <row r="11" spans="1:7">
      <c r="A11" s="8" t="s">
        <v>95</v>
      </c>
      <c r="B11" s="8"/>
      <c r="C11" s="8"/>
      <c r="E11" s="87"/>
    </row>
    <row r="12" spans="1:7">
      <c r="A12" s="8" t="s">
        <v>11</v>
      </c>
      <c r="B12" s="8">
        <f>Dane!C13</f>
        <v>2448</v>
      </c>
      <c r="C12" s="8">
        <f>Dane!D13</f>
        <v>1573</v>
      </c>
      <c r="E12" s="87" t="str">
        <f>Baza!$B$11</f>
        <v>tys. zł</v>
      </c>
    </row>
    <row r="13" spans="1:7">
      <c r="A13" s="8" t="s">
        <v>89</v>
      </c>
      <c r="B13" s="8">
        <f>Dane!B27-Dane!C27</f>
        <v>-19</v>
      </c>
      <c r="C13" s="8">
        <f>Dane!C27-Dane!D27</f>
        <v>-225</v>
      </c>
      <c r="E13" s="87" t="str">
        <f>Baza!$B$11</f>
        <v>tys. zł</v>
      </c>
    </row>
    <row r="14" spans="1:7">
      <c r="A14" s="8" t="s">
        <v>90</v>
      </c>
      <c r="B14" s="8">
        <f>Dane!C32-Dane!B32</f>
        <v>-59</v>
      </c>
      <c r="C14" s="8">
        <f>Dane!D32-Dane!C32</f>
        <v>-46</v>
      </c>
      <c r="E14" s="87" t="str">
        <f>Baza!$B$11</f>
        <v>tys. zł</v>
      </c>
    </row>
    <row r="15" spans="1:7">
      <c r="A15" s="8" t="s">
        <v>96</v>
      </c>
      <c r="B15" s="8">
        <f>SUM(B12:B14)</f>
        <v>2370</v>
      </c>
      <c r="C15" s="8">
        <f>SUM(C12:C14)</f>
        <v>1302</v>
      </c>
      <c r="E15" s="87" t="str">
        <f>Baza!$B$11</f>
        <v>tys. zł</v>
      </c>
    </row>
    <row r="16" spans="1:7" s="6" customFormat="1" ht="15">
      <c r="A16" s="9" t="s">
        <v>97</v>
      </c>
      <c r="B16" s="9">
        <f>B10+B15</f>
        <v>5479</v>
      </c>
      <c r="C16" s="9">
        <f>C10+C15</f>
        <v>4331</v>
      </c>
      <c r="E16" s="87" t="str">
        <f>Baza!$B$11</f>
        <v>tys. zł</v>
      </c>
      <c r="G16" s="6" t="s">
        <v>112</v>
      </c>
    </row>
    <row r="17" spans="1:7">
      <c r="A17" s="8" t="s">
        <v>100</v>
      </c>
      <c r="B17" s="8"/>
      <c r="C17" s="8"/>
      <c r="E17" s="87"/>
    </row>
    <row r="18" spans="1:7">
      <c r="A18" s="8" t="s">
        <v>19</v>
      </c>
      <c r="B18" s="8">
        <f>Dane!B24-Dane!C24</f>
        <v>900</v>
      </c>
      <c r="C18" s="8">
        <f>Dane!C24-Dane!D24</f>
        <v>-339</v>
      </c>
      <c r="E18" s="87" t="str">
        <f>Baza!$B$11</f>
        <v>tys. zł</v>
      </c>
      <c r="G18" s="7" t="s">
        <v>113</v>
      </c>
    </row>
    <row r="19" spans="1:7">
      <c r="A19" s="8" t="s">
        <v>88</v>
      </c>
      <c r="B19" s="8">
        <f>Dane!B25-Dane!C25</f>
        <v>109</v>
      </c>
      <c r="C19" s="8">
        <f>Dane!C25-Dane!D25</f>
        <v>-1526</v>
      </c>
      <c r="E19" s="87" t="str">
        <f>Baza!$B$11</f>
        <v>tys. zł</v>
      </c>
      <c r="G19" s="7" t="s">
        <v>113</v>
      </c>
    </row>
    <row r="20" spans="1:7">
      <c r="A20" s="8" t="s">
        <v>92</v>
      </c>
      <c r="B20" s="8">
        <f>Dane!C34-Dane!B34</f>
        <v>-72</v>
      </c>
      <c r="C20" s="8">
        <f>Dane!D34-Dane!C34</f>
        <v>2177</v>
      </c>
      <c r="E20" s="87" t="str">
        <f>Baza!$B$11</f>
        <v>tys. zł</v>
      </c>
      <c r="G20" s="7" t="s">
        <v>114</v>
      </c>
    </row>
    <row r="21" spans="1:7" s="6" customFormat="1" ht="15">
      <c r="A21" s="9" t="s">
        <v>101</v>
      </c>
      <c r="B21" s="9">
        <f>SUM(B18:B20)</f>
        <v>937</v>
      </c>
      <c r="C21" s="9">
        <f>SUM(C18:C20)</f>
        <v>312</v>
      </c>
      <c r="E21" s="87" t="str">
        <f>Baza!$B$11</f>
        <v>tys. zł</v>
      </c>
      <c r="G21" s="6" t="s">
        <v>112</v>
      </c>
    </row>
    <row r="22" spans="1:7" s="6" customFormat="1" ht="15">
      <c r="A22" s="9" t="s">
        <v>102</v>
      </c>
      <c r="B22" s="9">
        <f>B16+B21</f>
        <v>6416</v>
      </c>
      <c r="C22" s="9">
        <f>C16+C21</f>
        <v>4643</v>
      </c>
      <c r="E22" s="87" t="str">
        <f>Baza!$B$11</f>
        <v>tys. zł</v>
      </c>
      <c r="G22" s="6" t="s">
        <v>112</v>
      </c>
    </row>
    <row r="23" spans="1:7">
      <c r="A23" s="8" t="s">
        <v>103</v>
      </c>
      <c r="B23" s="8"/>
      <c r="C23" s="8"/>
      <c r="E23" s="87"/>
    </row>
    <row r="24" spans="1:7">
      <c r="A24" s="8" t="s">
        <v>17</v>
      </c>
      <c r="B24" s="8">
        <f>Dane!B21-Dane!C21</f>
        <v>1645</v>
      </c>
      <c r="C24" s="8">
        <f>Dane!C21-Dane!D21</f>
        <v>571</v>
      </c>
      <c r="E24" s="87" t="str">
        <f>Baza!$B$11</f>
        <v>tys. zł</v>
      </c>
    </row>
    <row r="25" spans="1:7">
      <c r="A25" s="8" t="s">
        <v>11</v>
      </c>
      <c r="B25" s="8">
        <f>-B12</f>
        <v>-2448</v>
      </c>
      <c r="C25" s="8">
        <f>-C12</f>
        <v>-1573</v>
      </c>
      <c r="E25" s="87" t="str">
        <f>Baza!$B$11</f>
        <v>tys. zł</v>
      </c>
    </row>
    <row r="26" spans="1:7">
      <c r="A26" s="8" t="s">
        <v>104</v>
      </c>
      <c r="B26" s="8">
        <f>SUM(B24:B25)</f>
        <v>-803</v>
      </c>
      <c r="C26" s="8">
        <f>SUM(C24:C25)</f>
        <v>-1002</v>
      </c>
      <c r="E26" s="87" t="str">
        <f>Baza!$B$11</f>
        <v>tys. zł</v>
      </c>
    </row>
    <row r="27" spans="1:7" s="6" customFormat="1" ht="15">
      <c r="A27" s="9" t="s">
        <v>105</v>
      </c>
      <c r="B27" s="9">
        <f>B26</f>
        <v>-803</v>
      </c>
      <c r="C27" s="9">
        <f>C26</f>
        <v>-1002</v>
      </c>
      <c r="E27" s="87" t="str">
        <f>Baza!$B$11</f>
        <v>tys. zł</v>
      </c>
      <c r="G27" s="6" t="s">
        <v>115</v>
      </c>
    </row>
    <row r="28" spans="1:7">
      <c r="A28" s="8" t="s">
        <v>106</v>
      </c>
      <c r="B28" s="8"/>
      <c r="C28" s="8"/>
      <c r="E28" s="87"/>
    </row>
    <row r="29" spans="1:7">
      <c r="A29" s="8" t="s">
        <v>91</v>
      </c>
      <c r="B29" s="8">
        <f>Dane!C33-Dane!B33</f>
        <v>-31</v>
      </c>
      <c r="C29" s="8">
        <f>Dane!D33-Dane!C33</f>
        <v>148</v>
      </c>
      <c r="E29" s="87" t="str">
        <f>Baza!$B$11</f>
        <v>tys. zł</v>
      </c>
    </row>
    <row r="30" spans="1:7">
      <c r="A30" s="8" t="s">
        <v>107</v>
      </c>
      <c r="B30" s="8">
        <f>SUM(B29)</f>
        <v>-31</v>
      </c>
      <c r="C30" s="8">
        <f>SUM(C29)</f>
        <v>148</v>
      </c>
      <c r="E30" s="87" t="str">
        <f>Baza!$B$11</f>
        <v>tys. zł</v>
      </c>
    </row>
    <row r="31" spans="1:7" s="6" customFormat="1" ht="15">
      <c r="A31" s="9" t="s">
        <v>108</v>
      </c>
      <c r="B31" s="9">
        <f>SUM(B30)</f>
        <v>-31</v>
      </c>
      <c r="C31" s="9">
        <f>SUM(C30)</f>
        <v>148</v>
      </c>
      <c r="E31" s="87" t="str">
        <f>Baza!$B$11</f>
        <v>tys. zł</v>
      </c>
      <c r="G31" s="6" t="s">
        <v>116</v>
      </c>
    </row>
    <row r="32" spans="1:7">
      <c r="A32" s="8" t="s">
        <v>109</v>
      </c>
      <c r="B32" s="8"/>
      <c r="C32" s="8"/>
      <c r="E32" s="87"/>
    </row>
    <row r="33" spans="1:7">
      <c r="A33" s="8" t="s">
        <v>21</v>
      </c>
      <c r="B33" s="8">
        <f>Dane!C29-Dane!B29</f>
        <v>3174</v>
      </c>
      <c r="C33" s="8">
        <f>Dane!D29-Dane!C29</f>
        <v>165</v>
      </c>
      <c r="E33" s="87" t="str">
        <f>Baza!$B$11</f>
        <v>tys. zł</v>
      </c>
    </row>
    <row r="34" spans="1:7">
      <c r="A34" s="8" t="s">
        <v>15</v>
      </c>
      <c r="B34" s="8">
        <f>-B10</f>
        <v>-3109</v>
      </c>
      <c r="C34" s="8">
        <f>-C10</f>
        <v>-3029</v>
      </c>
      <c r="E34" s="87" t="str">
        <f>Baza!$B$11</f>
        <v>tys. zł</v>
      </c>
    </row>
    <row r="35" spans="1:7">
      <c r="A35" s="8" t="s">
        <v>110</v>
      </c>
      <c r="B35" s="8">
        <f>SUM(B33:B34)</f>
        <v>65</v>
      </c>
      <c r="C35" s="8">
        <f>SUM(C33:C34)</f>
        <v>-2864</v>
      </c>
      <c r="E35" s="87" t="str">
        <f>Baza!$B$11</f>
        <v>tys. zł</v>
      </c>
    </row>
    <row r="36" spans="1:7" s="6" customFormat="1" ht="15">
      <c r="A36" s="9" t="s">
        <v>111</v>
      </c>
      <c r="B36" s="9">
        <f>SUM(B35)</f>
        <v>65</v>
      </c>
      <c r="C36" s="9">
        <f>SUM(C35)</f>
        <v>-2864</v>
      </c>
      <c r="E36" s="87" t="str">
        <f>Baza!$B$11</f>
        <v>tys. zł</v>
      </c>
      <c r="G36" s="6" t="s">
        <v>117</v>
      </c>
    </row>
    <row r="37" spans="1:7">
      <c r="A37" s="8"/>
      <c r="B37" s="8"/>
      <c r="C37" s="8"/>
      <c r="E37" s="87"/>
      <c r="G37" s="69" t="s">
        <v>118</v>
      </c>
    </row>
    <row r="38" spans="1:7">
      <c r="A38" s="8" t="s">
        <v>119</v>
      </c>
      <c r="B38" s="8">
        <f>Dane!B26</f>
        <v>1817</v>
      </c>
      <c r="C38" s="8">
        <f>Dane!C26</f>
        <v>7464</v>
      </c>
      <c r="E38" s="87" t="str">
        <f>Baza!$B$11</f>
        <v>tys. zł</v>
      </c>
    </row>
    <row r="39" spans="1:7" s="6" customFormat="1" ht="15">
      <c r="A39" s="9" t="s">
        <v>120</v>
      </c>
      <c r="B39" s="9">
        <f>B22+B27+B31+B36</f>
        <v>5647</v>
      </c>
      <c r="C39" s="9">
        <f>C22+C27+C31+C36</f>
        <v>925</v>
      </c>
      <c r="E39" s="87" t="str">
        <f>Baza!$B$11</f>
        <v>tys. zł</v>
      </c>
    </row>
    <row r="40" spans="1:7">
      <c r="A40" s="8" t="s">
        <v>121</v>
      </c>
      <c r="B40" s="8">
        <f>SUM(B38:B39)</f>
        <v>7464</v>
      </c>
      <c r="C40" s="8">
        <f>SUM(C38:C39)</f>
        <v>8389</v>
      </c>
      <c r="E40" s="87" t="str">
        <f>Baza!$B$11</f>
        <v>tys. zł</v>
      </c>
    </row>
    <row r="42" spans="1:7" ht="15">
      <c r="A42" s="6" t="s">
        <v>25</v>
      </c>
      <c r="B42" s="16" t="str">
        <f>IF(B40=Dane!C26,"poprawnie","BŁĄD!")</f>
        <v>poprawnie</v>
      </c>
      <c r="C42" s="16" t="str">
        <f>IF(C40=Dane!D26,"poprawnie","BŁĄD!")</f>
        <v>poprawnie</v>
      </c>
    </row>
  </sheetData>
  <sheetProtection password="CF5F" sheet="1" objects="1" scenarios="1" selectLockedCells="1"/>
  <hyperlinks>
    <hyperlink ref="A1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Wykresy</vt:lpstr>
      </vt:variant>
      <vt:variant>
        <vt:i4>16</vt:i4>
      </vt:variant>
    </vt:vector>
  </HeadingPairs>
  <TitlesOfParts>
    <vt:vector size="22" baseType="lpstr">
      <vt:lpstr>Spis treści</vt:lpstr>
      <vt:lpstr>Baza</vt:lpstr>
      <vt:lpstr>Dane</vt:lpstr>
      <vt:lpstr>Analiza wskaźnikowa</vt:lpstr>
      <vt:lpstr>Ocena</vt:lpstr>
      <vt:lpstr>Suplement CF</vt:lpstr>
      <vt:lpstr>W1</vt:lpstr>
      <vt:lpstr>W2</vt:lpstr>
      <vt:lpstr>W3</vt:lpstr>
      <vt:lpstr>W4</vt:lpstr>
      <vt:lpstr>W5</vt:lpstr>
      <vt:lpstr>W6</vt:lpstr>
      <vt:lpstr>W7</vt:lpstr>
      <vt:lpstr>W8</vt:lpstr>
      <vt:lpstr>W9</vt:lpstr>
      <vt:lpstr>W10</vt:lpstr>
      <vt:lpstr>W11</vt:lpstr>
      <vt:lpstr>W12</vt:lpstr>
      <vt:lpstr>W13</vt:lpstr>
      <vt:lpstr>W14</vt:lpstr>
      <vt:lpstr>W15</vt:lpstr>
      <vt:lpstr>W16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Skudlik</cp:lastModifiedBy>
  <cp:lastPrinted>2015-01-03T16:40:40Z</cp:lastPrinted>
  <dcterms:created xsi:type="dcterms:W3CDTF">2014-05-19T11:51:54Z</dcterms:created>
  <dcterms:modified xsi:type="dcterms:W3CDTF">2015-01-03T16:55:54Z</dcterms:modified>
</cp:coreProperties>
</file>